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ajj\Documents\Teaching\Protobook\2025 edit\"/>
    </mc:Choice>
  </mc:AlternateContent>
  <xr:revisionPtr revIDLastSave="0" documentId="13_ncr:1_{EE44E275-C1B7-4326-A025-F9536BCC58F8}" xr6:coauthVersionLast="47" xr6:coauthVersionMax="47" xr10:uidLastSave="{00000000-0000-0000-0000-000000000000}"/>
  <bookViews>
    <workbookView xWindow="-110" yWindow="-110" windowWidth="19420" windowHeight="10420" tabRatio="704" firstSheet="1" activeTab="7" xr2:uid="{00000000-000D-0000-FFFF-FFFF00000000}"/>
  </bookViews>
  <sheets>
    <sheet name="PARAMETERS" sheetId="32" r:id="rId1"/>
    <sheet name="DATA" sheetId="23" r:id="rId2"/>
    <sheet name="BAU" sheetId="39" r:id="rId3"/>
    <sheet name="DECARBONISATION" sheetId="22" r:id="rId4"/>
    <sheet name="ADAPTATION" sheetId="43" r:id="rId5"/>
    <sheet name="EFFICIENCY" sheetId="41" r:id="rId6"/>
    <sheet name="SCC" sheetId="36" r:id="rId7"/>
    <sheet name="DASHBOARD" sheetId="30" r:id="rId8"/>
  </sheets>
  <definedNames>
    <definedName name="solver_adj" localSheetId="5" hidden="1">EFFICIENCY!$X$6:$X$10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EFFICIENCY!$U$6</definedName>
    <definedName name="solver_pre" localSheetId="5" hidden="1">0.000001</definedName>
    <definedName name="solver_rbv" localSheetId="5" hidden="1">1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2</definedName>
    <definedName name="solver_val" localSheetId="5" hidden="1">0</definedName>
    <definedName name="solver_ver" localSheetId="5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3" l="1"/>
  <c r="K11" i="43"/>
  <c r="B10" i="32"/>
  <c r="U6" i="41"/>
  <c r="M6" i="41"/>
  <c r="B21" i="32"/>
  <c r="H4" i="36"/>
  <c r="B25" i="32"/>
  <c r="A47" i="41"/>
  <c r="A48" i="4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C5" i="43"/>
  <c r="D5" i="43" s="1"/>
  <c r="B16" i="32"/>
  <c r="B5" i="43"/>
  <c r="B20" i="32"/>
  <c r="B23" i="32" s="1"/>
  <c r="C6" i="41"/>
  <c r="G6" i="41"/>
  <c r="H6" i="41" l="1"/>
  <c r="D6" i="41"/>
  <c r="K6" i="41" l="1"/>
  <c r="K5" i="43"/>
  <c r="T6" i="41" l="1"/>
  <c r="E5" i="43"/>
  <c r="F5" i="43"/>
  <c r="B8" i="32"/>
  <c r="A6" i="43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8" i="23"/>
  <c r="B5" i="39"/>
  <c r="C5" i="39" s="1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B13" i="32"/>
  <c r="N6" i="41" s="1"/>
  <c r="D5" i="39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9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B9" i="32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8" i="23"/>
  <c r="A6" i="39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46" i="41" l="1"/>
  <c r="H5" i="43"/>
  <c r="I5" i="43" s="1"/>
  <c r="J8" i="23"/>
  <c r="J9" i="23" s="1"/>
  <c r="J10" i="23" s="1"/>
  <c r="J11" i="23" s="1"/>
  <c r="J12" i="23" s="1"/>
  <c r="J13" i="23" s="1"/>
  <c r="J14" i="23" s="1"/>
  <c r="J15" i="23" s="1"/>
  <c r="J16" i="23" s="1"/>
  <c r="J17" i="23" s="1"/>
  <c r="J18" i="23" s="1"/>
  <c r="J19" i="23" s="1"/>
  <c r="J20" i="23" s="1"/>
  <c r="J21" i="23" s="1"/>
  <c r="J22" i="23" s="1"/>
  <c r="J23" i="23" s="1"/>
  <c r="J24" i="23" s="1"/>
  <c r="J25" i="23" s="1"/>
  <c r="J26" i="23" s="1"/>
  <c r="J27" i="23" s="1"/>
  <c r="J28" i="23" s="1"/>
  <c r="J29" i="23" s="1"/>
  <c r="J30" i="23" s="1"/>
  <c r="J31" i="23" s="1"/>
  <c r="J32" i="23" s="1"/>
  <c r="J33" i="23" s="1"/>
  <c r="J34" i="23" s="1"/>
  <c r="J35" i="23" s="1"/>
  <c r="J36" i="23" s="1"/>
  <c r="J37" i="23" s="1"/>
  <c r="J38" i="23" s="1"/>
  <c r="J39" i="23" s="1"/>
  <c r="J40" i="23" s="1"/>
  <c r="J41" i="23" s="1"/>
  <c r="J42" i="23" s="1"/>
  <c r="J43" i="23" s="1"/>
  <c r="J44" i="23" s="1"/>
  <c r="J45" i="23" s="1"/>
  <c r="J46" i="23" s="1"/>
  <c r="J47" i="23" s="1"/>
  <c r="J48" i="23" s="1"/>
  <c r="J49" i="23" s="1"/>
  <c r="J50" i="23" s="1"/>
  <c r="J51" i="23" s="1"/>
  <c r="O6" i="41"/>
  <c r="P6" i="41" s="1"/>
  <c r="Q6" i="41" s="1"/>
  <c r="F5" i="39"/>
  <c r="G5" i="39" s="1"/>
  <c r="H5" i="39" s="1"/>
  <c r="P53" i="23"/>
  <c r="O53" i="23"/>
  <c r="N53" i="23"/>
  <c r="E5" i="39"/>
  <c r="J5" i="43" l="1"/>
  <c r="C6" i="43" s="1"/>
  <c r="B6" i="43"/>
  <c r="G7" i="41"/>
  <c r="C7" i="41"/>
  <c r="U7" i="41" s="1"/>
  <c r="B6" i="39"/>
  <c r="I5" i="39"/>
  <c r="K8" i="23"/>
  <c r="F6" i="39"/>
  <c r="K9" i="23"/>
  <c r="K10" i="23"/>
  <c r="D6" i="43" l="1"/>
  <c r="L5" i="43"/>
  <c r="K6" i="43" s="1"/>
  <c r="D7" i="41"/>
  <c r="H7" i="41"/>
  <c r="M7" i="41" s="1"/>
  <c r="N7" i="41"/>
  <c r="E6" i="43"/>
  <c r="G5" i="43"/>
  <c r="H6" i="43" s="1"/>
  <c r="C6" i="39"/>
  <c r="K11" i="23"/>
  <c r="C4" i="36"/>
  <c r="C5" i="36" s="1"/>
  <c r="H5" i="36"/>
  <c r="H6" i="36" s="1"/>
  <c r="H7" i="36" s="1"/>
  <c r="H8" i="36" s="1"/>
  <c r="H9" i="36" s="1"/>
  <c r="AV4" i="36"/>
  <c r="AV5" i="36" s="1"/>
  <c r="AW4" i="36"/>
  <c r="A5" i="36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K7" i="41" l="1"/>
  <c r="T7" i="41" s="1"/>
  <c r="C6" i="36"/>
  <c r="D5" i="36"/>
  <c r="E5" i="36" s="1"/>
  <c r="H10" i="36"/>
  <c r="H11" i="36" s="1"/>
  <c r="I7" i="41"/>
  <c r="I6" i="43"/>
  <c r="J6" i="43" s="1"/>
  <c r="C7" i="43" s="1"/>
  <c r="O7" i="41"/>
  <c r="P7" i="41" s="1"/>
  <c r="E7" i="41"/>
  <c r="D6" i="39"/>
  <c r="E6" i="39"/>
  <c r="F7" i="39" s="1"/>
  <c r="G7" i="39" s="1"/>
  <c r="H7" i="39" s="1"/>
  <c r="I7" i="39" s="1"/>
  <c r="K12" i="23"/>
  <c r="G6" i="39"/>
  <c r="H6" i="39" s="1"/>
  <c r="D4" i="36"/>
  <c r="E4" i="36" s="1"/>
  <c r="C8" i="41" l="1"/>
  <c r="Q7" i="41"/>
  <c r="G8" i="41"/>
  <c r="H8" i="41" s="1"/>
  <c r="H12" i="36"/>
  <c r="H13" i="36" s="1"/>
  <c r="D6" i="36"/>
  <c r="E6" i="36" s="1"/>
  <c r="C7" i="36"/>
  <c r="B7" i="39"/>
  <c r="I6" i="39"/>
  <c r="L7" i="41"/>
  <c r="N8" i="41"/>
  <c r="K13" i="23"/>
  <c r="I8" i="41" l="1"/>
  <c r="M8" i="41"/>
  <c r="D8" i="41"/>
  <c r="E8" i="41" s="1"/>
  <c r="U8" i="41"/>
  <c r="B7" i="43"/>
  <c r="D7" i="43" s="1"/>
  <c r="D7" i="36"/>
  <c r="E7" i="36" s="1"/>
  <c r="C8" i="36"/>
  <c r="H14" i="36"/>
  <c r="H15" i="36" s="1"/>
  <c r="L6" i="43"/>
  <c r="K7" i="43" s="1"/>
  <c r="C7" i="39"/>
  <c r="O8" i="41"/>
  <c r="P8" i="41" s="1"/>
  <c r="K14" i="23"/>
  <c r="E7" i="43" l="1"/>
  <c r="F7" i="43" s="1"/>
  <c r="G7" i="43"/>
  <c r="H16" i="36"/>
  <c r="H17" i="36" s="1"/>
  <c r="D8" i="36"/>
  <c r="E8" i="36" s="1"/>
  <c r="C9" i="36"/>
  <c r="D7" i="39"/>
  <c r="B8" i="39"/>
  <c r="C8" i="39" s="1"/>
  <c r="E8" i="39" s="1"/>
  <c r="E7" i="39"/>
  <c r="F8" i="39" s="1"/>
  <c r="G8" i="39" s="1"/>
  <c r="H8" i="39" s="1"/>
  <c r="I8" i="39" s="1"/>
  <c r="K15" i="23"/>
  <c r="C10" i="36" l="1"/>
  <c r="D9" i="36"/>
  <c r="E9" i="36" s="1"/>
  <c r="H18" i="36"/>
  <c r="H19" i="36" s="1"/>
  <c r="K8" i="41"/>
  <c r="T8" i="41" s="1"/>
  <c r="F9" i="39"/>
  <c r="G9" i="39" s="1"/>
  <c r="H9" i="39" s="1"/>
  <c r="I9" i="39" s="1"/>
  <c r="B9" i="39"/>
  <c r="D8" i="39"/>
  <c r="K16" i="23"/>
  <c r="Q8" i="41" l="1"/>
  <c r="C9" i="41"/>
  <c r="G9" i="41"/>
  <c r="L8" i="41"/>
  <c r="N9" i="41"/>
  <c r="O9" i="41" s="1"/>
  <c r="P9" i="41" s="1"/>
  <c r="H20" i="36"/>
  <c r="H21" i="36" s="1"/>
  <c r="D10" i="36"/>
  <c r="E10" i="36" s="1"/>
  <c r="C11" i="36"/>
  <c r="C9" i="39"/>
  <c r="K17" i="23"/>
  <c r="U9" i="41" l="1"/>
  <c r="H9" i="41"/>
  <c r="D9" i="41"/>
  <c r="E9" i="41" s="1"/>
  <c r="C12" i="36"/>
  <c r="D11" i="36"/>
  <c r="E11" i="36" s="1"/>
  <c r="H22" i="36"/>
  <c r="H23" i="36" s="1"/>
  <c r="D9" i="39"/>
  <c r="E9" i="39"/>
  <c r="F10" i="39" s="1"/>
  <c r="G10" i="39" s="1"/>
  <c r="H10" i="39" s="1"/>
  <c r="I10" i="39" s="1"/>
  <c r="B10" i="39"/>
  <c r="K18" i="23"/>
  <c r="I9" i="41" l="1"/>
  <c r="M9" i="41"/>
  <c r="K9" i="41"/>
  <c r="H24" i="36"/>
  <c r="D12" i="36"/>
  <c r="E12" i="36" s="1"/>
  <c r="C13" i="36"/>
  <c r="C10" i="39"/>
  <c r="B11" i="39" s="1"/>
  <c r="L9" i="41"/>
  <c r="K19" i="23"/>
  <c r="N10" i="41" l="1"/>
  <c r="O10" i="41" s="1"/>
  <c r="P10" i="41" s="1"/>
  <c r="T9" i="41"/>
  <c r="Q9" i="41"/>
  <c r="G10" i="41"/>
  <c r="C10" i="41"/>
  <c r="D13" i="36"/>
  <c r="E13" i="36" s="1"/>
  <c r="C14" i="36"/>
  <c r="H25" i="36"/>
  <c r="E10" i="39"/>
  <c r="F11" i="39" s="1"/>
  <c r="G11" i="39" s="1"/>
  <c r="H11" i="39" s="1"/>
  <c r="I11" i="39" s="1"/>
  <c r="D10" i="39"/>
  <c r="C11" i="39"/>
  <c r="K20" i="23"/>
  <c r="U10" i="41" l="1"/>
  <c r="D10" i="41"/>
  <c r="E10" i="41" s="1"/>
  <c r="H10" i="41"/>
  <c r="H26" i="36"/>
  <c r="H27" i="36" s="1"/>
  <c r="C15" i="36"/>
  <c r="D14" i="36"/>
  <c r="E14" i="36" s="1"/>
  <c r="B12" i="39"/>
  <c r="C12" i="39" s="1"/>
  <c r="D11" i="39"/>
  <c r="E11" i="39"/>
  <c r="F12" i="39" s="1"/>
  <c r="G12" i="39" s="1"/>
  <c r="H12" i="39" s="1"/>
  <c r="I12" i="39" s="1"/>
  <c r="K21" i="23"/>
  <c r="I10" i="41" l="1"/>
  <c r="M10" i="41"/>
  <c r="N11" i="41" s="1"/>
  <c r="O11" i="41" s="1"/>
  <c r="P11" i="41" s="1"/>
  <c r="K10" i="41"/>
  <c r="T10" i="41" s="1"/>
  <c r="D15" i="36"/>
  <c r="E15" i="36" s="1"/>
  <c r="C16" i="36"/>
  <c r="H28" i="36"/>
  <c r="B13" i="39"/>
  <c r="C13" i="39" s="1"/>
  <c r="E12" i="39"/>
  <c r="F13" i="39" s="1"/>
  <c r="G13" i="39" s="1"/>
  <c r="H13" i="39" s="1"/>
  <c r="I13" i="39" s="1"/>
  <c r="D12" i="39"/>
  <c r="K22" i="23"/>
  <c r="L10" i="41" l="1"/>
  <c r="Q10" i="41"/>
  <c r="G11" i="41"/>
  <c r="C11" i="41"/>
  <c r="H29" i="36"/>
  <c r="D16" i="36"/>
  <c r="E16" i="36" s="1"/>
  <c r="C17" i="36"/>
  <c r="B14" i="39"/>
  <c r="C14" i="39" s="1"/>
  <c r="E13" i="39"/>
  <c r="F14" i="39" s="1"/>
  <c r="D13" i="39"/>
  <c r="K23" i="23"/>
  <c r="U11" i="41" l="1"/>
  <c r="D11" i="41"/>
  <c r="E11" i="41" s="1"/>
  <c r="H11" i="41"/>
  <c r="C18" i="36"/>
  <c r="D17" i="36"/>
  <c r="E17" i="36" s="1"/>
  <c r="H30" i="36"/>
  <c r="H31" i="36" s="1"/>
  <c r="G14" i="39"/>
  <c r="H14" i="39" s="1"/>
  <c r="E14" i="39"/>
  <c r="F15" i="39" s="1"/>
  <c r="G15" i="39" s="1"/>
  <c r="H15" i="39" s="1"/>
  <c r="I15" i="39" s="1"/>
  <c r="D14" i="39"/>
  <c r="K24" i="23"/>
  <c r="I11" i="41" l="1"/>
  <c r="M11" i="41"/>
  <c r="K11" i="41"/>
  <c r="H32" i="36"/>
  <c r="D18" i="36"/>
  <c r="E18" i="36" s="1"/>
  <c r="C19" i="36"/>
  <c r="B15" i="39"/>
  <c r="C15" i="39" s="1"/>
  <c r="B16" i="39" s="1"/>
  <c r="I14" i="39"/>
  <c r="K25" i="23"/>
  <c r="L11" i="41" l="1"/>
  <c r="T11" i="41"/>
  <c r="Q11" i="41"/>
  <c r="N12" i="41"/>
  <c r="O12" i="41" s="1"/>
  <c r="P12" i="41" s="1"/>
  <c r="C12" i="41"/>
  <c r="G12" i="41"/>
  <c r="C20" i="36"/>
  <c r="D19" i="36"/>
  <c r="E19" i="36" s="1"/>
  <c r="H33" i="36"/>
  <c r="E15" i="39"/>
  <c r="F16" i="39" s="1"/>
  <c r="D15" i="39"/>
  <c r="C16" i="39"/>
  <c r="K26" i="23"/>
  <c r="U12" i="41" l="1"/>
  <c r="H12" i="41"/>
  <c r="D12" i="41"/>
  <c r="E12" i="41" s="1"/>
  <c r="H34" i="36"/>
  <c r="H35" i="36" s="1"/>
  <c r="H36" i="36" s="1"/>
  <c r="D20" i="36"/>
  <c r="E20" i="36" s="1"/>
  <c r="C21" i="36"/>
  <c r="E16" i="39"/>
  <c r="F17" i="39" s="1"/>
  <c r="D16" i="39"/>
  <c r="G16" i="39"/>
  <c r="H16" i="39" s="1"/>
  <c r="K27" i="23"/>
  <c r="I12" i="41" l="1"/>
  <c r="M12" i="41"/>
  <c r="K12" i="41"/>
  <c r="T12" i="41" s="1"/>
  <c r="D21" i="36"/>
  <c r="E21" i="36" s="1"/>
  <c r="C22" i="36"/>
  <c r="H37" i="36"/>
  <c r="B17" i="39"/>
  <c r="C17" i="39" s="1"/>
  <c r="I16" i="39"/>
  <c r="G17" i="39"/>
  <c r="H17" i="39" s="1"/>
  <c r="I17" i="39" s="1"/>
  <c r="K28" i="23"/>
  <c r="N13" i="41" l="1"/>
  <c r="O13" i="41" s="1"/>
  <c r="P13" i="41" s="1"/>
  <c r="Q12" i="41"/>
  <c r="L12" i="41"/>
  <c r="G13" i="41"/>
  <c r="C13" i="41"/>
  <c r="H38" i="36"/>
  <c r="H39" i="36" s="1"/>
  <c r="C23" i="36"/>
  <c r="D22" i="36"/>
  <c r="E22" i="36" s="1"/>
  <c r="E17" i="39"/>
  <c r="F18" i="39" s="1"/>
  <c r="G18" i="39" s="1"/>
  <c r="H18" i="39" s="1"/>
  <c r="I18" i="39" s="1"/>
  <c r="D17" i="39"/>
  <c r="B18" i="39"/>
  <c r="K29" i="23"/>
  <c r="U13" i="41" l="1"/>
  <c r="D13" i="41"/>
  <c r="E13" i="41" s="1"/>
  <c r="H13" i="41"/>
  <c r="D23" i="36"/>
  <c r="E23" i="36" s="1"/>
  <c r="C24" i="36"/>
  <c r="H40" i="36"/>
  <c r="C18" i="39"/>
  <c r="B19" i="39" s="1"/>
  <c r="K30" i="23"/>
  <c r="I13" i="41" l="1"/>
  <c r="M13" i="41"/>
  <c r="K13" i="41"/>
  <c r="T13" i="41" s="1"/>
  <c r="H41" i="36"/>
  <c r="D24" i="36"/>
  <c r="E24" i="36" s="1"/>
  <c r="C25" i="36"/>
  <c r="D18" i="39"/>
  <c r="E18" i="39"/>
  <c r="F19" i="39" s="1"/>
  <c r="G19" i="39" s="1"/>
  <c r="H19" i="39" s="1"/>
  <c r="I19" i="39" s="1"/>
  <c r="C19" i="39"/>
  <c r="K31" i="23"/>
  <c r="L13" i="41" l="1"/>
  <c r="Q13" i="41"/>
  <c r="N14" i="41"/>
  <c r="O14" i="41" s="1"/>
  <c r="P14" i="41" s="1"/>
  <c r="C14" i="41"/>
  <c r="U14" i="41" s="1"/>
  <c r="G14" i="41"/>
  <c r="C26" i="36"/>
  <c r="D25" i="36"/>
  <c r="E25" i="36" s="1"/>
  <c r="H42" i="36"/>
  <c r="H43" i="36" s="1"/>
  <c r="H44" i="36" s="1"/>
  <c r="E19" i="39"/>
  <c r="F20" i="39" s="1"/>
  <c r="G20" i="39" s="1"/>
  <c r="H20" i="39" s="1"/>
  <c r="I20" i="39" s="1"/>
  <c r="D19" i="39"/>
  <c r="B20" i="39"/>
  <c r="K32" i="23"/>
  <c r="H14" i="41" l="1"/>
  <c r="D14" i="41"/>
  <c r="E14" i="41" s="1"/>
  <c r="H45" i="36"/>
  <c r="D26" i="36"/>
  <c r="E26" i="36" s="1"/>
  <c r="C27" i="36"/>
  <c r="C20" i="39"/>
  <c r="K33" i="23"/>
  <c r="I14" i="41" l="1"/>
  <c r="M14" i="41"/>
  <c r="N15" i="41" s="1"/>
  <c r="O15" i="41" s="1"/>
  <c r="P15" i="41" s="1"/>
  <c r="K14" i="41"/>
  <c r="T14" i="41" s="1"/>
  <c r="D27" i="36"/>
  <c r="E27" i="36" s="1"/>
  <c r="C28" i="36"/>
  <c r="H46" i="36"/>
  <c r="H47" i="36" s="1"/>
  <c r="H48" i="36" s="1"/>
  <c r="E20" i="39"/>
  <c r="F21" i="39" s="1"/>
  <c r="G21" i="39" s="1"/>
  <c r="H21" i="39" s="1"/>
  <c r="I21" i="39" s="1"/>
  <c r="D20" i="39"/>
  <c r="B21" i="39"/>
  <c r="K34" i="23"/>
  <c r="L14" i="41" l="1"/>
  <c r="C15" i="41"/>
  <c r="G15" i="41"/>
  <c r="H15" i="41" s="1"/>
  <c r="Q14" i="41"/>
  <c r="H49" i="36"/>
  <c r="C29" i="36"/>
  <c r="D28" i="36"/>
  <c r="E28" i="36" s="1"/>
  <c r="C21" i="39"/>
  <c r="K35" i="23"/>
  <c r="U15" i="41" l="1"/>
  <c r="I15" i="41"/>
  <c r="M15" i="41"/>
  <c r="D15" i="41"/>
  <c r="E15" i="41" s="1"/>
  <c r="C30" i="36"/>
  <c r="D29" i="36"/>
  <c r="E29" i="36" s="1"/>
  <c r="H50" i="36"/>
  <c r="H51" i="36" s="1"/>
  <c r="H52" i="36" s="1"/>
  <c r="D21" i="39"/>
  <c r="E21" i="39"/>
  <c r="F22" i="39" s="1"/>
  <c r="G22" i="39" s="1"/>
  <c r="H22" i="39" s="1"/>
  <c r="I22" i="39" s="1"/>
  <c r="B22" i="39"/>
  <c r="K36" i="23"/>
  <c r="K15" i="41" l="1"/>
  <c r="T15" i="41" s="1"/>
  <c r="Q15" i="41"/>
  <c r="G16" i="41"/>
  <c r="C16" i="41"/>
  <c r="U16" i="41" s="1"/>
  <c r="L15" i="41"/>
  <c r="H53" i="36"/>
  <c r="D30" i="36"/>
  <c r="E30" i="36" s="1"/>
  <c r="C31" i="36"/>
  <c r="C22" i="39"/>
  <c r="K37" i="23"/>
  <c r="D16" i="41" l="1"/>
  <c r="E16" i="41" s="1"/>
  <c r="H16" i="41"/>
  <c r="C32" i="36"/>
  <c r="D31" i="36"/>
  <c r="E31" i="36" s="1"/>
  <c r="H54" i="36"/>
  <c r="H55" i="36" s="1"/>
  <c r="H56" i="36" s="1"/>
  <c r="E22" i="39"/>
  <c r="F23" i="39" s="1"/>
  <c r="G23" i="39" s="1"/>
  <c r="H23" i="39" s="1"/>
  <c r="I23" i="39" s="1"/>
  <c r="D22" i="39"/>
  <c r="B23" i="39"/>
  <c r="N16" i="41"/>
  <c r="O16" i="41" s="1"/>
  <c r="P16" i="41" s="1"/>
  <c r="K38" i="23"/>
  <c r="I16" i="41" l="1"/>
  <c r="M16" i="41"/>
  <c r="H57" i="36"/>
  <c r="C33" i="36"/>
  <c r="D32" i="36"/>
  <c r="E32" i="36" s="1"/>
  <c r="C23" i="39"/>
  <c r="B24" i="39" s="1"/>
  <c r="K39" i="23"/>
  <c r="D33" i="36" l="1"/>
  <c r="E33" i="36" s="1"/>
  <c r="C34" i="36"/>
  <c r="H58" i="36"/>
  <c r="H59" i="36" s="1"/>
  <c r="H60" i="36" s="1"/>
  <c r="K16" i="41"/>
  <c r="T16" i="41" s="1"/>
  <c r="E23" i="39"/>
  <c r="F24" i="39" s="1"/>
  <c r="G24" i="39" s="1"/>
  <c r="H24" i="39" s="1"/>
  <c r="I24" i="39" s="1"/>
  <c r="D23" i="39"/>
  <c r="C24" i="39"/>
  <c r="K40" i="23"/>
  <c r="Q16" i="41" l="1"/>
  <c r="C17" i="41"/>
  <c r="G17" i="41"/>
  <c r="H61" i="36"/>
  <c r="D34" i="36"/>
  <c r="E34" i="36" s="1"/>
  <c r="C35" i="36"/>
  <c r="B25" i="39"/>
  <c r="C25" i="39" s="1"/>
  <c r="D24" i="39"/>
  <c r="E24" i="39"/>
  <c r="F25" i="39" s="1"/>
  <c r="G25" i="39" s="1"/>
  <c r="H25" i="39" s="1"/>
  <c r="I25" i="39" s="1"/>
  <c r="L16" i="41"/>
  <c r="N17" i="41"/>
  <c r="O17" i="41" s="1"/>
  <c r="P17" i="41" s="1"/>
  <c r="K41" i="23"/>
  <c r="U17" i="41" l="1"/>
  <c r="H17" i="41"/>
  <c r="D17" i="41"/>
  <c r="E17" i="41" s="1"/>
  <c r="D35" i="36"/>
  <c r="E35" i="36" s="1"/>
  <c r="C36" i="36"/>
  <c r="H62" i="36"/>
  <c r="H63" i="36" s="1"/>
  <c r="H64" i="36" s="1"/>
  <c r="D25" i="39"/>
  <c r="E25" i="39"/>
  <c r="F26" i="39" s="1"/>
  <c r="G26" i="39" s="1"/>
  <c r="H26" i="39" s="1"/>
  <c r="I26" i="39" s="1"/>
  <c r="B26" i="39"/>
  <c r="K42" i="23"/>
  <c r="I17" i="41" l="1"/>
  <c r="M17" i="41"/>
  <c r="H65" i="36"/>
  <c r="D36" i="36"/>
  <c r="E36" i="36" s="1"/>
  <c r="C37" i="36"/>
  <c r="K17" i="41"/>
  <c r="T17" i="41" s="1"/>
  <c r="C26" i="39"/>
  <c r="K43" i="23"/>
  <c r="Q17" i="41" l="1"/>
  <c r="G18" i="41"/>
  <c r="C18" i="41"/>
  <c r="U18" i="41" s="1"/>
  <c r="C38" i="36"/>
  <c r="D37" i="36"/>
  <c r="E37" i="36" s="1"/>
  <c r="H66" i="36"/>
  <c r="H67" i="36" s="1"/>
  <c r="H68" i="36" s="1"/>
  <c r="D26" i="39"/>
  <c r="E26" i="39"/>
  <c r="F27" i="39" s="1"/>
  <c r="G27" i="39" s="1"/>
  <c r="H27" i="39" s="1"/>
  <c r="I27" i="39" s="1"/>
  <c r="B27" i="39"/>
  <c r="N18" i="41"/>
  <c r="O18" i="41" s="1"/>
  <c r="P18" i="41" s="1"/>
  <c r="L17" i="41"/>
  <c r="K44" i="23"/>
  <c r="D18" i="41" l="1"/>
  <c r="E18" i="41" s="1"/>
  <c r="H18" i="41"/>
  <c r="H69" i="36"/>
  <c r="D38" i="36"/>
  <c r="E38" i="36" s="1"/>
  <c r="C39" i="36"/>
  <c r="C27" i="39"/>
  <c r="K45" i="23"/>
  <c r="I18" i="41" l="1"/>
  <c r="M18" i="41"/>
  <c r="D39" i="36"/>
  <c r="E39" i="36" s="1"/>
  <c r="C40" i="36"/>
  <c r="H70" i="36"/>
  <c r="H71" i="36" s="1"/>
  <c r="H72" i="36" s="1"/>
  <c r="K18" i="41"/>
  <c r="T18" i="41" s="1"/>
  <c r="D27" i="39"/>
  <c r="E27" i="39"/>
  <c r="F28" i="39" s="1"/>
  <c r="G28" i="39" s="1"/>
  <c r="H28" i="39" s="1"/>
  <c r="I28" i="39" s="1"/>
  <c r="B28" i="39"/>
  <c r="K46" i="23"/>
  <c r="Q18" i="41" l="1"/>
  <c r="C19" i="41"/>
  <c r="G19" i="41"/>
  <c r="H73" i="36"/>
  <c r="C41" i="36"/>
  <c r="D40" i="36"/>
  <c r="E40" i="36" s="1"/>
  <c r="C28" i="39"/>
  <c r="B29" i="39" s="1"/>
  <c r="N19" i="41"/>
  <c r="O19" i="41" s="1"/>
  <c r="P19" i="41" s="1"/>
  <c r="L18" i="41"/>
  <c r="K47" i="23"/>
  <c r="U19" i="41" l="1"/>
  <c r="H19" i="41"/>
  <c r="D19" i="41"/>
  <c r="E19" i="41" s="1"/>
  <c r="C42" i="36"/>
  <c r="D41" i="36"/>
  <c r="E41" i="36" s="1"/>
  <c r="H74" i="36"/>
  <c r="H75" i="36" s="1"/>
  <c r="H76" i="36" s="1"/>
  <c r="E28" i="39"/>
  <c r="F29" i="39" s="1"/>
  <c r="G29" i="39" s="1"/>
  <c r="H29" i="39" s="1"/>
  <c r="I29" i="39" s="1"/>
  <c r="D28" i="39"/>
  <c r="K48" i="23"/>
  <c r="I19" i="41" l="1"/>
  <c r="M19" i="41"/>
  <c r="H77" i="36"/>
  <c r="D42" i="36"/>
  <c r="E42" i="36" s="1"/>
  <c r="C43" i="36"/>
  <c r="K19" i="41"/>
  <c r="T19" i="41" s="1"/>
  <c r="C29" i="39"/>
  <c r="K49" i="23"/>
  <c r="Q19" i="41" l="1"/>
  <c r="G20" i="41"/>
  <c r="C20" i="41"/>
  <c r="U20" i="41" s="1"/>
  <c r="C44" i="36"/>
  <c r="D43" i="36"/>
  <c r="E43" i="36" s="1"/>
  <c r="H78" i="36"/>
  <c r="D29" i="39"/>
  <c r="E29" i="39"/>
  <c r="F30" i="39" s="1"/>
  <c r="G30" i="39" s="1"/>
  <c r="H30" i="39" s="1"/>
  <c r="I30" i="39" s="1"/>
  <c r="B30" i="39"/>
  <c r="L19" i="41"/>
  <c r="N20" i="41"/>
  <c r="O20" i="41" s="1"/>
  <c r="P20" i="41" s="1"/>
  <c r="K51" i="23"/>
  <c r="K50" i="23"/>
  <c r="D20" i="41" l="1"/>
  <c r="E20" i="41" s="1"/>
  <c r="H20" i="41"/>
  <c r="H79" i="36"/>
  <c r="D44" i="36"/>
  <c r="E44" i="36" s="1"/>
  <c r="C45" i="36"/>
  <c r="C30" i="39"/>
  <c r="I20" i="41" l="1"/>
  <c r="M20" i="41"/>
  <c r="D45" i="36"/>
  <c r="E45" i="36" s="1"/>
  <c r="C46" i="36"/>
  <c r="H80" i="36"/>
  <c r="K20" i="41"/>
  <c r="T20" i="41" s="1"/>
  <c r="E30" i="39"/>
  <c r="F31" i="39" s="1"/>
  <c r="G31" i="39" s="1"/>
  <c r="H31" i="39" s="1"/>
  <c r="I31" i="39" s="1"/>
  <c r="D30" i="39"/>
  <c r="B31" i="39"/>
  <c r="Q20" i="41" l="1"/>
  <c r="C21" i="41"/>
  <c r="G21" i="41"/>
  <c r="H81" i="36"/>
  <c r="H82" i="36" s="1"/>
  <c r="H83" i="36" s="1"/>
  <c r="H84" i="36" s="1"/>
  <c r="C47" i="36"/>
  <c r="D46" i="36"/>
  <c r="E46" i="36" s="1"/>
  <c r="C31" i="39"/>
  <c r="L20" i="41"/>
  <c r="N21" i="41"/>
  <c r="O21" i="41" s="1"/>
  <c r="P21" i="41" s="1"/>
  <c r="U21" i="41" l="1"/>
  <c r="H21" i="41"/>
  <c r="D21" i="41"/>
  <c r="E21" i="41" s="1"/>
  <c r="D47" i="36"/>
  <c r="E47" i="36" s="1"/>
  <c r="C48" i="36"/>
  <c r="E31" i="39"/>
  <c r="F32" i="39" s="1"/>
  <c r="G32" i="39" s="1"/>
  <c r="H32" i="39" s="1"/>
  <c r="I32" i="39" s="1"/>
  <c r="D31" i="39"/>
  <c r="B32" i="39"/>
  <c r="I21" i="41" l="1"/>
  <c r="M21" i="41"/>
  <c r="C49" i="36"/>
  <c r="D48" i="36"/>
  <c r="E48" i="36" s="1"/>
  <c r="K21" i="41"/>
  <c r="T21" i="41" s="1"/>
  <c r="C32" i="39"/>
  <c r="Q21" i="41" l="1"/>
  <c r="G22" i="41"/>
  <c r="C22" i="41"/>
  <c r="U22" i="41" s="1"/>
  <c r="C50" i="36"/>
  <c r="D49" i="36"/>
  <c r="E49" i="36" s="1"/>
  <c r="D32" i="39"/>
  <c r="E32" i="39"/>
  <c r="F33" i="39" s="1"/>
  <c r="G33" i="39" s="1"/>
  <c r="H33" i="39" s="1"/>
  <c r="I33" i="39" s="1"/>
  <c r="B33" i="39"/>
  <c r="N22" i="41"/>
  <c r="O22" i="41" s="1"/>
  <c r="P22" i="41" s="1"/>
  <c r="L21" i="41"/>
  <c r="D22" i="41" l="1"/>
  <c r="E22" i="41" s="1"/>
  <c r="H22" i="41"/>
  <c r="D50" i="36"/>
  <c r="E50" i="36" s="1"/>
  <c r="C51" i="36"/>
  <c r="C33" i="39"/>
  <c r="I22" i="41" l="1"/>
  <c r="M22" i="41"/>
  <c r="C52" i="36"/>
  <c r="D51" i="36"/>
  <c r="E51" i="36" s="1"/>
  <c r="K22" i="41"/>
  <c r="T22" i="41" s="1"/>
  <c r="E33" i="39"/>
  <c r="F34" i="39" s="1"/>
  <c r="G34" i="39" s="1"/>
  <c r="H34" i="39" s="1"/>
  <c r="I34" i="39" s="1"/>
  <c r="D33" i="39"/>
  <c r="B34" i="39"/>
  <c r="Q22" i="41" l="1"/>
  <c r="C23" i="41"/>
  <c r="G23" i="41"/>
  <c r="D52" i="36"/>
  <c r="E52" i="36" s="1"/>
  <c r="C53" i="36"/>
  <c r="C34" i="39"/>
  <c r="B35" i="39" s="1"/>
  <c r="L22" i="41"/>
  <c r="N23" i="41"/>
  <c r="O23" i="41" s="1"/>
  <c r="P23" i="41" s="1"/>
  <c r="U23" i="41" l="1"/>
  <c r="H23" i="41"/>
  <c r="D23" i="41"/>
  <c r="E23" i="41" s="1"/>
  <c r="D53" i="36"/>
  <c r="E53" i="36" s="1"/>
  <c r="C54" i="36"/>
  <c r="E34" i="39"/>
  <c r="F35" i="39" s="1"/>
  <c r="G35" i="39" s="1"/>
  <c r="H35" i="39" s="1"/>
  <c r="I35" i="39" s="1"/>
  <c r="D34" i="39"/>
  <c r="C35" i="39"/>
  <c r="I23" i="41" l="1"/>
  <c r="M23" i="41"/>
  <c r="C55" i="36"/>
  <c r="D54" i="36"/>
  <c r="E54" i="36" s="1"/>
  <c r="K23" i="41"/>
  <c r="T23" i="41" s="1"/>
  <c r="E35" i="39"/>
  <c r="F36" i="39" s="1"/>
  <c r="G36" i="39" s="1"/>
  <c r="H36" i="39" s="1"/>
  <c r="I36" i="39" s="1"/>
  <c r="D35" i="39"/>
  <c r="B36" i="39"/>
  <c r="Q23" i="41" l="1"/>
  <c r="G24" i="41"/>
  <c r="C24" i="41"/>
  <c r="U24" i="41" s="1"/>
  <c r="D55" i="36"/>
  <c r="E55" i="36" s="1"/>
  <c r="C56" i="36"/>
  <c r="C36" i="39"/>
  <c r="B37" i="39" s="1"/>
  <c r="L23" i="41"/>
  <c r="N24" i="41"/>
  <c r="O24" i="41" s="1"/>
  <c r="P24" i="41" s="1"/>
  <c r="D24" i="41" l="1"/>
  <c r="E24" i="41" s="1"/>
  <c r="H24" i="41"/>
  <c r="C57" i="36"/>
  <c r="D56" i="36"/>
  <c r="E56" i="36" s="1"/>
  <c r="D36" i="39"/>
  <c r="E36" i="39"/>
  <c r="F37" i="39" s="1"/>
  <c r="G37" i="39" s="1"/>
  <c r="H37" i="39" s="1"/>
  <c r="I37" i="39" s="1"/>
  <c r="C37" i="39"/>
  <c r="I24" i="41" l="1"/>
  <c r="M24" i="41"/>
  <c r="C58" i="36"/>
  <c r="D57" i="36"/>
  <c r="E57" i="36" s="1"/>
  <c r="K24" i="41"/>
  <c r="T24" i="41" s="1"/>
  <c r="B38" i="39"/>
  <c r="C38" i="39" s="1"/>
  <c r="E37" i="39"/>
  <c r="F38" i="39" s="1"/>
  <c r="G38" i="39" s="1"/>
  <c r="H38" i="39" s="1"/>
  <c r="I38" i="39" s="1"/>
  <c r="D37" i="39"/>
  <c r="Q24" i="41" l="1"/>
  <c r="C25" i="41"/>
  <c r="G25" i="41"/>
  <c r="D58" i="36"/>
  <c r="E58" i="36" s="1"/>
  <c r="C59" i="36"/>
  <c r="B39" i="39"/>
  <c r="C39" i="39" s="1"/>
  <c r="E38" i="39"/>
  <c r="F39" i="39" s="1"/>
  <c r="G39" i="39" s="1"/>
  <c r="H39" i="39" s="1"/>
  <c r="I39" i="39" s="1"/>
  <c r="D38" i="39"/>
  <c r="L24" i="41"/>
  <c r="N25" i="41"/>
  <c r="O25" i="41" s="1"/>
  <c r="P25" i="41" s="1"/>
  <c r="U25" i="41" l="1"/>
  <c r="H25" i="41"/>
  <c r="D25" i="41"/>
  <c r="E25" i="41" s="1"/>
  <c r="C60" i="36"/>
  <c r="D59" i="36"/>
  <c r="E59" i="36" s="1"/>
  <c r="B40" i="39"/>
  <c r="C40" i="39" s="1"/>
  <c r="E39" i="39"/>
  <c r="F40" i="39" s="1"/>
  <c r="G40" i="39" s="1"/>
  <c r="H40" i="39" s="1"/>
  <c r="I40" i="39" s="1"/>
  <c r="D39" i="39"/>
  <c r="I25" i="41" l="1"/>
  <c r="M25" i="41"/>
  <c r="D60" i="36"/>
  <c r="E60" i="36" s="1"/>
  <c r="C61" i="36"/>
  <c r="K25" i="41"/>
  <c r="T25" i="41" s="1"/>
  <c r="B41" i="39"/>
  <c r="C41" i="39" s="1"/>
  <c r="D40" i="39"/>
  <c r="E40" i="39"/>
  <c r="F41" i="39" s="1"/>
  <c r="G41" i="39" s="1"/>
  <c r="H41" i="39" s="1"/>
  <c r="I41" i="39" s="1"/>
  <c r="Q25" i="41" l="1"/>
  <c r="G26" i="41"/>
  <c r="C26" i="41"/>
  <c r="C62" i="36"/>
  <c r="D61" i="36"/>
  <c r="E61" i="36" s="1"/>
  <c r="B42" i="39"/>
  <c r="C42" i="39" s="1"/>
  <c r="D41" i="39"/>
  <c r="E41" i="39"/>
  <c r="F42" i="39" s="1"/>
  <c r="G42" i="39" s="1"/>
  <c r="H42" i="39" s="1"/>
  <c r="I42" i="39" s="1"/>
  <c r="N26" i="41"/>
  <c r="O26" i="41" s="1"/>
  <c r="P26" i="41" s="1"/>
  <c r="L25" i="41"/>
  <c r="U26" i="41" l="1"/>
  <c r="D26" i="41"/>
  <c r="E26" i="41" s="1"/>
  <c r="H26" i="41"/>
  <c r="D62" i="36"/>
  <c r="E62" i="36" s="1"/>
  <c r="C63" i="36"/>
  <c r="B43" i="39"/>
  <c r="C43" i="39" s="1"/>
  <c r="E42" i="39"/>
  <c r="F43" i="39" s="1"/>
  <c r="G43" i="39" s="1"/>
  <c r="H43" i="39" s="1"/>
  <c r="I43" i="39" s="1"/>
  <c r="D42" i="39"/>
  <c r="I26" i="41" l="1"/>
  <c r="M26" i="41"/>
  <c r="D63" i="36"/>
  <c r="E63" i="36" s="1"/>
  <c r="C64" i="36"/>
  <c r="K26" i="41"/>
  <c r="T26" i="41" s="1"/>
  <c r="E43" i="39"/>
  <c r="F44" i="39" s="1"/>
  <c r="G44" i="39" s="1"/>
  <c r="H44" i="39" s="1"/>
  <c r="I44" i="39" s="1"/>
  <c r="D43" i="39"/>
  <c r="B44" i="39"/>
  <c r="Q26" i="41" l="1"/>
  <c r="C27" i="41"/>
  <c r="G27" i="41"/>
  <c r="C65" i="36"/>
  <c r="D64" i="36"/>
  <c r="E64" i="36" s="1"/>
  <c r="C44" i="39"/>
  <c r="L26" i="41"/>
  <c r="N27" i="41"/>
  <c r="O27" i="41" s="1"/>
  <c r="P27" i="41" s="1"/>
  <c r="U27" i="41" l="1"/>
  <c r="H27" i="41"/>
  <c r="D27" i="41"/>
  <c r="E27" i="41" s="1"/>
  <c r="D65" i="36"/>
  <c r="E65" i="36" s="1"/>
  <c r="C66" i="36"/>
  <c r="D44" i="39"/>
  <c r="E44" i="39"/>
  <c r="F45" i="39" s="1"/>
  <c r="B45" i="39"/>
  <c r="F4" i="36" s="1"/>
  <c r="G4" i="36" s="1"/>
  <c r="I4" i="36" s="1"/>
  <c r="I27" i="41" l="1"/>
  <c r="M27" i="41"/>
  <c r="L4" i="36"/>
  <c r="F9" i="36"/>
  <c r="G9" i="36" s="1"/>
  <c r="I9" i="36" s="1"/>
  <c r="F13" i="36"/>
  <c r="G13" i="36" s="1"/>
  <c r="I13" i="36" s="1"/>
  <c r="F17" i="36"/>
  <c r="G17" i="36" s="1"/>
  <c r="I17" i="36" s="1"/>
  <c r="F21" i="36"/>
  <c r="G21" i="36" s="1"/>
  <c r="I21" i="36" s="1"/>
  <c r="F25" i="36"/>
  <c r="G25" i="36" s="1"/>
  <c r="I25" i="36" s="1"/>
  <c r="F29" i="36"/>
  <c r="G29" i="36" s="1"/>
  <c r="I29" i="36" s="1"/>
  <c r="F33" i="36"/>
  <c r="G33" i="36" s="1"/>
  <c r="I33" i="36" s="1"/>
  <c r="F37" i="36"/>
  <c r="G37" i="36" s="1"/>
  <c r="I37" i="36" s="1"/>
  <c r="F41" i="36"/>
  <c r="G41" i="36" s="1"/>
  <c r="I41" i="36" s="1"/>
  <c r="F45" i="36"/>
  <c r="G45" i="36" s="1"/>
  <c r="I45" i="36" s="1"/>
  <c r="F49" i="36"/>
  <c r="G49" i="36" s="1"/>
  <c r="I49" i="36" s="1"/>
  <c r="F53" i="36"/>
  <c r="G53" i="36" s="1"/>
  <c r="I53" i="36" s="1"/>
  <c r="F57" i="36"/>
  <c r="G57" i="36" s="1"/>
  <c r="I57" i="36" s="1"/>
  <c r="F61" i="36"/>
  <c r="G61" i="36" s="1"/>
  <c r="I61" i="36" s="1"/>
  <c r="F65" i="36"/>
  <c r="G65" i="36" s="1"/>
  <c r="I65" i="36" s="1"/>
  <c r="F69" i="36"/>
  <c r="F73" i="36"/>
  <c r="F77" i="36"/>
  <c r="F81" i="36"/>
  <c r="F5" i="36"/>
  <c r="G5" i="36" s="1"/>
  <c r="F6" i="36"/>
  <c r="G6" i="36" s="1"/>
  <c r="I6" i="36" s="1"/>
  <c r="F10" i="36"/>
  <c r="G10" i="36" s="1"/>
  <c r="I10" i="36" s="1"/>
  <c r="F14" i="36"/>
  <c r="G14" i="36" s="1"/>
  <c r="I14" i="36" s="1"/>
  <c r="F18" i="36"/>
  <c r="G18" i="36" s="1"/>
  <c r="I18" i="36" s="1"/>
  <c r="F22" i="36"/>
  <c r="G22" i="36" s="1"/>
  <c r="I22" i="36" s="1"/>
  <c r="F26" i="36"/>
  <c r="G26" i="36" s="1"/>
  <c r="I26" i="36" s="1"/>
  <c r="F30" i="36"/>
  <c r="G30" i="36" s="1"/>
  <c r="I30" i="36" s="1"/>
  <c r="F34" i="36"/>
  <c r="G34" i="36" s="1"/>
  <c r="I34" i="36" s="1"/>
  <c r="F38" i="36"/>
  <c r="G38" i="36" s="1"/>
  <c r="I38" i="36" s="1"/>
  <c r="F42" i="36"/>
  <c r="G42" i="36" s="1"/>
  <c r="I42" i="36" s="1"/>
  <c r="F46" i="36"/>
  <c r="G46" i="36" s="1"/>
  <c r="I46" i="36" s="1"/>
  <c r="F50" i="36"/>
  <c r="G50" i="36" s="1"/>
  <c r="I50" i="36" s="1"/>
  <c r="F54" i="36"/>
  <c r="G54" i="36" s="1"/>
  <c r="I54" i="36" s="1"/>
  <c r="F58" i="36"/>
  <c r="G58" i="36" s="1"/>
  <c r="I58" i="36" s="1"/>
  <c r="F62" i="36"/>
  <c r="G62" i="36" s="1"/>
  <c r="I62" i="36" s="1"/>
  <c r="F66" i="36"/>
  <c r="F70" i="36"/>
  <c r="F74" i="36"/>
  <c r="F78" i="36"/>
  <c r="F82" i="36"/>
  <c r="F7" i="36"/>
  <c r="G7" i="36" s="1"/>
  <c r="I7" i="36" s="1"/>
  <c r="F11" i="36"/>
  <c r="G11" i="36" s="1"/>
  <c r="I11" i="36" s="1"/>
  <c r="F15" i="36"/>
  <c r="G15" i="36" s="1"/>
  <c r="I15" i="36" s="1"/>
  <c r="F19" i="36"/>
  <c r="G19" i="36" s="1"/>
  <c r="I19" i="36" s="1"/>
  <c r="F23" i="36"/>
  <c r="G23" i="36" s="1"/>
  <c r="I23" i="36" s="1"/>
  <c r="F27" i="36"/>
  <c r="G27" i="36" s="1"/>
  <c r="I27" i="36" s="1"/>
  <c r="F31" i="36"/>
  <c r="G31" i="36" s="1"/>
  <c r="I31" i="36" s="1"/>
  <c r="F35" i="36"/>
  <c r="G35" i="36" s="1"/>
  <c r="I35" i="36" s="1"/>
  <c r="F39" i="36"/>
  <c r="G39" i="36" s="1"/>
  <c r="I39" i="36" s="1"/>
  <c r="F43" i="36"/>
  <c r="G43" i="36" s="1"/>
  <c r="I43" i="36" s="1"/>
  <c r="F47" i="36"/>
  <c r="G47" i="36" s="1"/>
  <c r="I47" i="36" s="1"/>
  <c r="F20" i="36"/>
  <c r="G20" i="36" s="1"/>
  <c r="I20" i="36" s="1"/>
  <c r="F36" i="36"/>
  <c r="G36" i="36" s="1"/>
  <c r="I36" i="36" s="1"/>
  <c r="F51" i="36"/>
  <c r="G51" i="36" s="1"/>
  <c r="I51" i="36" s="1"/>
  <c r="F59" i="36"/>
  <c r="G59" i="36" s="1"/>
  <c r="I59" i="36" s="1"/>
  <c r="F67" i="36"/>
  <c r="F75" i="36"/>
  <c r="F83" i="36"/>
  <c r="F84" i="36"/>
  <c r="F12" i="36"/>
  <c r="G12" i="36" s="1"/>
  <c r="I12" i="36" s="1"/>
  <c r="F44" i="36"/>
  <c r="G44" i="36" s="1"/>
  <c r="I44" i="36" s="1"/>
  <c r="F55" i="36"/>
  <c r="G55" i="36" s="1"/>
  <c r="I55" i="36" s="1"/>
  <c r="F63" i="36"/>
  <c r="G63" i="36" s="1"/>
  <c r="I63" i="36" s="1"/>
  <c r="F79" i="36"/>
  <c r="F16" i="36"/>
  <c r="G16" i="36" s="1"/>
  <c r="I16" i="36" s="1"/>
  <c r="F32" i="36"/>
  <c r="G32" i="36" s="1"/>
  <c r="I32" i="36" s="1"/>
  <c r="F48" i="36"/>
  <c r="G48" i="36" s="1"/>
  <c r="I48" i="36" s="1"/>
  <c r="F56" i="36"/>
  <c r="G56" i="36" s="1"/>
  <c r="I56" i="36" s="1"/>
  <c r="F72" i="36"/>
  <c r="F80" i="36"/>
  <c r="F8" i="36"/>
  <c r="G8" i="36" s="1"/>
  <c r="I8" i="36" s="1"/>
  <c r="F24" i="36"/>
  <c r="G24" i="36" s="1"/>
  <c r="I24" i="36" s="1"/>
  <c r="F40" i="36"/>
  <c r="G40" i="36" s="1"/>
  <c r="I40" i="36" s="1"/>
  <c r="F52" i="36"/>
  <c r="G52" i="36" s="1"/>
  <c r="I52" i="36" s="1"/>
  <c r="F60" i="36"/>
  <c r="G60" i="36" s="1"/>
  <c r="I60" i="36" s="1"/>
  <c r="F68" i="36"/>
  <c r="F76" i="36"/>
  <c r="F28" i="36"/>
  <c r="G28" i="36" s="1"/>
  <c r="I28" i="36" s="1"/>
  <c r="F71" i="36"/>
  <c r="F64" i="36"/>
  <c r="G64" i="36" s="1"/>
  <c r="I64" i="36" s="1"/>
  <c r="D66" i="36"/>
  <c r="E66" i="36" s="1"/>
  <c r="C67" i="36"/>
  <c r="K27" i="41"/>
  <c r="T27" i="41" s="1"/>
  <c r="C45" i="39"/>
  <c r="G45" i="39"/>
  <c r="H45" i="39" s="1"/>
  <c r="Q27" i="41" l="1"/>
  <c r="G66" i="36"/>
  <c r="I66" i="36" s="1"/>
  <c r="G28" i="41"/>
  <c r="C28" i="41"/>
  <c r="U28" i="41" s="1"/>
  <c r="D67" i="36"/>
  <c r="E67" i="36" s="1"/>
  <c r="G67" i="36" s="1"/>
  <c r="I67" i="36" s="1"/>
  <c r="C68" i="36"/>
  <c r="B46" i="39"/>
  <c r="C46" i="39" s="1"/>
  <c r="I45" i="39"/>
  <c r="D45" i="39"/>
  <c r="E45" i="39"/>
  <c r="B15" i="32" s="1"/>
  <c r="L27" i="41"/>
  <c r="N28" i="41"/>
  <c r="O28" i="41" s="1"/>
  <c r="P28" i="41" s="1"/>
  <c r="D28" i="41" l="1"/>
  <c r="E28" i="41" s="1"/>
  <c r="H28" i="41"/>
  <c r="C69" i="36"/>
  <c r="D68" i="36"/>
  <c r="E68" i="36" s="1"/>
  <c r="G68" i="36" s="1"/>
  <c r="I68" i="36" s="1"/>
  <c r="F46" i="39"/>
  <c r="E46" i="39"/>
  <c r="D46" i="39"/>
  <c r="I28" i="41" l="1"/>
  <c r="M28" i="41"/>
  <c r="D69" i="36"/>
  <c r="E69" i="36" s="1"/>
  <c r="G69" i="36" s="1"/>
  <c r="I69" i="36" s="1"/>
  <c r="C70" i="36"/>
  <c r="K28" i="41"/>
  <c r="T28" i="41" s="1"/>
  <c r="G46" i="39"/>
  <c r="H46" i="39" s="1"/>
  <c r="F47" i="39"/>
  <c r="G47" i="39" s="1"/>
  <c r="H47" i="39" s="1"/>
  <c r="I47" i="39" s="1"/>
  <c r="Q28" i="41" l="1"/>
  <c r="C29" i="41"/>
  <c r="G29" i="41"/>
  <c r="D70" i="36"/>
  <c r="E70" i="36" s="1"/>
  <c r="G70" i="36" s="1"/>
  <c r="I70" i="36" s="1"/>
  <c r="C71" i="36"/>
  <c r="B47" i="39"/>
  <c r="C47" i="39" s="1"/>
  <c r="B48" i="39" s="1"/>
  <c r="I46" i="39"/>
  <c r="L28" i="41"/>
  <c r="N29" i="41"/>
  <c r="O29" i="41" s="1"/>
  <c r="P29" i="41" s="1"/>
  <c r="U29" i="41" l="1"/>
  <c r="H29" i="41"/>
  <c r="D29" i="41"/>
  <c r="E29" i="41" s="1"/>
  <c r="D71" i="36"/>
  <c r="E71" i="36" s="1"/>
  <c r="G71" i="36" s="1"/>
  <c r="I71" i="36" s="1"/>
  <c r="C72" i="36"/>
  <c r="E47" i="39"/>
  <c r="F48" i="39" s="1"/>
  <c r="G48" i="39" s="1"/>
  <c r="H48" i="39" s="1"/>
  <c r="I48" i="39" s="1"/>
  <c r="D47" i="39"/>
  <c r="C48" i="39"/>
  <c r="I29" i="41" l="1"/>
  <c r="M29" i="41"/>
  <c r="D72" i="36"/>
  <c r="E72" i="36" s="1"/>
  <c r="G72" i="36" s="1"/>
  <c r="I72" i="36" s="1"/>
  <c r="C73" i="36"/>
  <c r="K29" i="41"/>
  <c r="T29" i="41" s="1"/>
  <c r="D48" i="39"/>
  <c r="E48" i="39"/>
  <c r="F49" i="39" s="1"/>
  <c r="G49" i="39" s="1"/>
  <c r="H49" i="39" s="1"/>
  <c r="I49" i="39" s="1"/>
  <c r="B49" i="39"/>
  <c r="Q29" i="41" l="1"/>
  <c r="G30" i="41"/>
  <c r="C30" i="41"/>
  <c r="U30" i="41" s="1"/>
  <c r="C74" i="36"/>
  <c r="D73" i="36"/>
  <c r="E73" i="36" s="1"/>
  <c r="G73" i="36" s="1"/>
  <c r="I73" i="36" s="1"/>
  <c r="C49" i="39"/>
  <c r="N30" i="41"/>
  <c r="O30" i="41" s="1"/>
  <c r="P30" i="41" s="1"/>
  <c r="L29" i="41"/>
  <c r="K6" i="22"/>
  <c r="D30" i="41" l="1"/>
  <c r="E30" i="41" s="1"/>
  <c r="H30" i="41"/>
  <c r="D74" i="36"/>
  <c r="E74" i="36" s="1"/>
  <c r="G74" i="36" s="1"/>
  <c r="I74" i="36" s="1"/>
  <c r="C75" i="36"/>
  <c r="E49" i="39"/>
  <c r="F50" i="39" s="1"/>
  <c r="G50" i="39" s="1"/>
  <c r="H50" i="39" s="1"/>
  <c r="I50" i="39" s="1"/>
  <c r="D49" i="39"/>
  <c r="B50" i="39"/>
  <c r="G8" i="22"/>
  <c r="C8" i="22"/>
  <c r="I30" i="41" l="1"/>
  <c r="M30" i="41"/>
  <c r="D75" i="36"/>
  <c r="E75" i="36" s="1"/>
  <c r="G75" i="36" s="1"/>
  <c r="I75" i="36" s="1"/>
  <c r="C76" i="36"/>
  <c r="K30" i="41"/>
  <c r="T30" i="41" s="1"/>
  <c r="C50" i="39"/>
  <c r="B51" i="39" s="1"/>
  <c r="Q30" i="41" l="1"/>
  <c r="G31" i="41"/>
  <c r="C31" i="41"/>
  <c r="U31" i="41" s="1"/>
  <c r="C77" i="36"/>
  <c r="D76" i="36"/>
  <c r="E76" i="36" s="1"/>
  <c r="G76" i="36" s="1"/>
  <c r="I76" i="36" s="1"/>
  <c r="E50" i="39"/>
  <c r="F51" i="39" s="1"/>
  <c r="G51" i="39" s="1"/>
  <c r="H51" i="39" s="1"/>
  <c r="I51" i="39" s="1"/>
  <c r="D50" i="39"/>
  <c r="C51" i="39"/>
  <c r="L30" i="41"/>
  <c r="N31" i="41"/>
  <c r="O31" i="41" s="1"/>
  <c r="P31" i="41" s="1"/>
  <c r="D31" i="41" l="1"/>
  <c r="E31" i="41" s="1"/>
  <c r="H31" i="41"/>
  <c r="D77" i="36"/>
  <c r="E77" i="36" s="1"/>
  <c r="G77" i="36" s="1"/>
  <c r="I77" i="36" s="1"/>
  <c r="C78" i="36"/>
  <c r="D51" i="39"/>
  <c r="E51" i="39"/>
  <c r="F52" i="39" s="1"/>
  <c r="G52" i="39" s="1"/>
  <c r="H52" i="39" s="1"/>
  <c r="I52" i="39" s="1"/>
  <c r="B52" i="39"/>
  <c r="I31" i="41" l="1"/>
  <c r="M31" i="41"/>
  <c r="D78" i="36"/>
  <c r="E78" i="36" s="1"/>
  <c r="G78" i="36" s="1"/>
  <c r="I78" i="36" s="1"/>
  <c r="C79" i="36"/>
  <c r="K31" i="41"/>
  <c r="T31" i="41" s="1"/>
  <c r="C52" i="39"/>
  <c r="B53" i="39" s="1"/>
  <c r="Q31" i="41" l="1"/>
  <c r="C32" i="41"/>
  <c r="G32" i="41"/>
  <c r="D79" i="36"/>
  <c r="E79" i="36" s="1"/>
  <c r="G79" i="36" s="1"/>
  <c r="I79" i="36" s="1"/>
  <c r="C80" i="36"/>
  <c r="D52" i="39"/>
  <c r="E52" i="39"/>
  <c r="F53" i="39" s="1"/>
  <c r="G53" i="39" s="1"/>
  <c r="H53" i="39" s="1"/>
  <c r="I53" i="39" s="1"/>
  <c r="C53" i="39"/>
  <c r="L31" i="41"/>
  <c r="N32" i="41"/>
  <c r="O32" i="41" s="1"/>
  <c r="P32" i="41" s="1"/>
  <c r="U32" i="41" l="1"/>
  <c r="H32" i="41"/>
  <c r="D32" i="41"/>
  <c r="E32" i="41" s="1"/>
  <c r="D80" i="36"/>
  <c r="E80" i="36" s="1"/>
  <c r="G80" i="36" s="1"/>
  <c r="I80" i="36" s="1"/>
  <c r="C81" i="36"/>
  <c r="B54" i="39"/>
  <c r="C54" i="39" s="1"/>
  <c r="E53" i="39"/>
  <c r="F54" i="39" s="1"/>
  <c r="G54" i="39" s="1"/>
  <c r="H54" i="39" s="1"/>
  <c r="I54" i="39" s="1"/>
  <c r="D53" i="39"/>
  <c r="I32" i="41" l="1"/>
  <c r="M32" i="41"/>
  <c r="C82" i="36"/>
  <c r="D81" i="36"/>
  <c r="E81" i="36" s="1"/>
  <c r="G81" i="36" s="1"/>
  <c r="I81" i="36" s="1"/>
  <c r="K32" i="41"/>
  <c r="T32" i="41" s="1"/>
  <c r="B55" i="39"/>
  <c r="C55" i="39" s="1"/>
  <c r="D54" i="39"/>
  <c r="E54" i="39"/>
  <c r="F55" i="39" s="1"/>
  <c r="G55" i="39" s="1"/>
  <c r="H55" i="39" s="1"/>
  <c r="I55" i="39" s="1"/>
  <c r="Q32" i="41" l="1"/>
  <c r="G33" i="41"/>
  <c r="C33" i="41"/>
  <c r="U33" i="41" s="1"/>
  <c r="D82" i="36"/>
  <c r="E82" i="36" s="1"/>
  <c r="G82" i="36" s="1"/>
  <c r="I82" i="36" s="1"/>
  <c r="C83" i="36"/>
  <c r="B56" i="39"/>
  <c r="C56" i="39" s="1"/>
  <c r="E55" i="39"/>
  <c r="F56" i="39" s="1"/>
  <c r="G56" i="39" s="1"/>
  <c r="H56" i="39" s="1"/>
  <c r="I56" i="39" s="1"/>
  <c r="D55" i="39"/>
  <c r="L32" i="41"/>
  <c r="N33" i="41"/>
  <c r="O33" i="41" s="1"/>
  <c r="P33" i="41" s="1"/>
  <c r="D33" i="41" l="1"/>
  <c r="E33" i="41" s="1"/>
  <c r="H33" i="41"/>
  <c r="D83" i="36"/>
  <c r="E83" i="36" s="1"/>
  <c r="G83" i="36" s="1"/>
  <c r="I83" i="36" s="1"/>
  <c r="C84" i="36"/>
  <c r="D84" i="36" s="1"/>
  <c r="E84" i="36" s="1"/>
  <c r="G84" i="36" s="1"/>
  <c r="I84" i="36" s="1"/>
  <c r="B57" i="39"/>
  <c r="C57" i="39" s="1"/>
  <c r="E56" i="39"/>
  <c r="F57" i="39" s="1"/>
  <c r="G57" i="39" s="1"/>
  <c r="H57" i="39" s="1"/>
  <c r="I57" i="39" s="1"/>
  <c r="D56" i="39"/>
  <c r="I33" i="41" l="1"/>
  <c r="M33" i="41"/>
  <c r="K33" i="41"/>
  <c r="T33" i="41" s="1"/>
  <c r="B58" i="39"/>
  <c r="C58" i="39" s="1"/>
  <c r="E57" i="39"/>
  <c r="F58" i="39" s="1"/>
  <c r="G58" i="39" s="1"/>
  <c r="H58" i="39" s="1"/>
  <c r="I58" i="39" s="1"/>
  <c r="D57" i="39"/>
  <c r="Q33" i="41" l="1"/>
  <c r="C34" i="41"/>
  <c r="G34" i="41"/>
  <c r="B59" i="39"/>
  <c r="C59" i="39" s="1"/>
  <c r="E58" i="39"/>
  <c r="F59" i="39" s="1"/>
  <c r="G59" i="39" s="1"/>
  <c r="H59" i="39" s="1"/>
  <c r="I59" i="39" s="1"/>
  <c r="D58" i="39"/>
  <c r="N34" i="41"/>
  <c r="O34" i="41" s="1"/>
  <c r="P34" i="41" s="1"/>
  <c r="L33" i="41"/>
  <c r="U34" i="41" l="1"/>
  <c r="H34" i="41"/>
  <c r="D34" i="41"/>
  <c r="E34" i="41" s="1"/>
  <c r="B60" i="39"/>
  <c r="C60" i="39" s="1"/>
  <c r="E59" i="39"/>
  <c r="F60" i="39" s="1"/>
  <c r="G60" i="39" s="1"/>
  <c r="H60" i="39" s="1"/>
  <c r="I60" i="39" s="1"/>
  <c r="D59" i="39"/>
  <c r="I34" i="41" l="1"/>
  <c r="M34" i="41"/>
  <c r="K34" i="41"/>
  <c r="T34" i="41" s="1"/>
  <c r="B61" i="39"/>
  <c r="C61" i="39" s="1"/>
  <c r="E60" i="39"/>
  <c r="F61" i="39" s="1"/>
  <c r="G61" i="39" s="1"/>
  <c r="H61" i="39" s="1"/>
  <c r="I61" i="39" s="1"/>
  <c r="D60" i="39"/>
  <c r="Q34" i="41" l="1"/>
  <c r="C35" i="41"/>
  <c r="G35" i="41"/>
  <c r="B62" i="39"/>
  <c r="C62" i="39" s="1"/>
  <c r="E61" i="39"/>
  <c r="F62" i="39" s="1"/>
  <c r="G62" i="39" s="1"/>
  <c r="H62" i="39" s="1"/>
  <c r="I62" i="39" s="1"/>
  <c r="D61" i="39"/>
  <c r="L34" i="41"/>
  <c r="N35" i="41"/>
  <c r="O35" i="41" s="1"/>
  <c r="P35" i="41" s="1"/>
  <c r="U35" i="41" l="1"/>
  <c r="H35" i="41"/>
  <c r="D35" i="41"/>
  <c r="E35" i="41" s="1"/>
  <c r="B63" i="39"/>
  <c r="C63" i="39" s="1"/>
  <c r="E62" i="39"/>
  <c r="F63" i="39" s="1"/>
  <c r="G63" i="39" s="1"/>
  <c r="H63" i="39" s="1"/>
  <c r="I63" i="39" s="1"/>
  <c r="D62" i="39"/>
  <c r="I35" i="41" l="1"/>
  <c r="M35" i="41"/>
  <c r="K35" i="41"/>
  <c r="T35" i="41" s="1"/>
  <c r="B64" i="39"/>
  <c r="C64" i="39" s="1"/>
  <c r="D63" i="39"/>
  <c r="E63" i="39"/>
  <c r="F64" i="39" s="1"/>
  <c r="G64" i="39" s="1"/>
  <c r="H64" i="39" s="1"/>
  <c r="I64" i="39" s="1"/>
  <c r="Q35" i="41" l="1"/>
  <c r="G36" i="41"/>
  <c r="C36" i="41"/>
  <c r="E64" i="39"/>
  <c r="F65" i="39" s="1"/>
  <c r="G65" i="39" s="1"/>
  <c r="H65" i="39" s="1"/>
  <c r="I65" i="39" s="1"/>
  <c r="D64" i="39"/>
  <c r="B65" i="39"/>
  <c r="L35" i="41"/>
  <c r="N36" i="41"/>
  <c r="O36" i="41" s="1"/>
  <c r="P36" i="41" s="1"/>
  <c r="U36" i="41" l="1"/>
  <c r="D36" i="41"/>
  <c r="E36" i="41" s="1"/>
  <c r="H36" i="41"/>
  <c r="C65" i="39"/>
  <c r="B66" i="39" s="1"/>
  <c r="I36" i="41" l="1"/>
  <c r="M36" i="41"/>
  <c r="K36" i="41"/>
  <c r="T36" i="41" s="1"/>
  <c r="E65" i="39"/>
  <c r="F66" i="39" s="1"/>
  <c r="G66" i="39" s="1"/>
  <c r="H66" i="39" s="1"/>
  <c r="I66" i="39" s="1"/>
  <c r="D65" i="39"/>
  <c r="C66" i="39"/>
  <c r="Q36" i="41" l="1"/>
  <c r="C37" i="41"/>
  <c r="G37" i="41"/>
  <c r="E66" i="39"/>
  <c r="F67" i="39" s="1"/>
  <c r="G67" i="39" s="1"/>
  <c r="H67" i="39" s="1"/>
  <c r="I67" i="39" s="1"/>
  <c r="D66" i="39"/>
  <c r="B67" i="39"/>
  <c r="N37" i="41"/>
  <c r="O37" i="41" s="1"/>
  <c r="P37" i="41" s="1"/>
  <c r="L36" i="41"/>
  <c r="U37" i="41" l="1"/>
  <c r="H37" i="41"/>
  <c r="D37" i="41"/>
  <c r="E37" i="41" s="1"/>
  <c r="C67" i="39"/>
  <c r="B68" i="39" s="1"/>
  <c r="I37" i="41" l="1"/>
  <c r="M37" i="41"/>
  <c r="K37" i="41"/>
  <c r="T37" i="41" s="1"/>
  <c r="E67" i="39"/>
  <c r="F68" i="39" s="1"/>
  <c r="G68" i="39" s="1"/>
  <c r="H68" i="39" s="1"/>
  <c r="I68" i="39" s="1"/>
  <c r="D67" i="39"/>
  <c r="C68" i="39"/>
  <c r="Q37" i="41" l="1"/>
  <c r="G38" i="41"/>
  <c r="C38" i="41"/>
  <c r="U38" i="41" s="1"/>
  <c r="D68" i="39"/>
  <c r="E68" i="39"/>
  <c r="F69" i="39" s="1"/>
  <c r="G69" i="39" s="1"/>
  <c r="H69" i="39" s="1"/>
  <c r="I69" i="39" s="1"/>
  <c r="B69" i="39"/>
  <c r="L37" i="41"/>
  <c r="N38" i="41"/>
  <c r="O38" i="41" s="1"/>
  <c r="P38" i="41" s="1"/>
  <c r="D38" i="41" l="1"/>
  <c r="E38" i="41" s="1"/>
  <c r="H38" i="41"/>
  <c r="C69" i="39"/>
  <c r="B70" i="39" s="1"/>
  <c r="I38" i="41" l="1"/>
  <c r="M38" i="41"/>
  <c r="K38" i="41"/>
  <c r="T38" i="41" s="1"/>
  <c r="D69" i="39"/>
  <c r="E69" i="39"/>
  <c r="F70" i="39" s="1"/>
  <c r="G70" i="39" s="1"/>
  <c r="H70" i="39" s="1"/>
  <c r="I70" i="39" s="1"/>
  <c r="C70" i="39"/>
  <c r="Q38" i="41" l="1"/>
  <c r="C39" i="41"/>
  <c r="G39" i="41"/>
  <c r="B71" i="39"/>
  <c r="C71" i="39" s="1"/>
  <c r="E70" i="39"/>
  <c r="F71" i="39" s="1"/>
  <c r="G71" i="39" s="1"/>
  <c r="H71" i="39" s="1"/>
  <c r="I71" i="39" s="1"/>
  <c r="D70" i="39"/>
  <c r="L38" i="41"/>
  <c r="N39" i="41"/>
  <c r="O39" i="41" s="1"/>
  <c r="P39" i="41" s="1"/>
  <c r="L6" i="36"/>
  <c r="U39" i="41" l="1"/>
  <c r="H39" i="41"/>
  <c r="D39" i="41"/>
  <c r="E39" i="41" s="1"/>
  <c r="B72" i="39"/>
  <c r="C72" i="39" s="1"/>
  <c r="E71" i="39"/>
  <c r="F72" i="39" s="1"/>
  <c r="G72" i="39" s="1"/>
  <c r="H72" i="39" s="1"/>
  <c r="I72" i="39" s="1"/>
  <c r="D71" i="39"/>
  <c r="D8" i="22"/>
  <c r="N8" i="22" s="1"/>
  <c r="I39" i="41" l="1"/>
  <c r="M39" i="41"/>
  <c r="K39" i="41"/>
  <c r="T39" i="41" s="1"/>
  <c r="B73" i="39"/>
  <c r="C73" i="39" s="1"/>
  <c r="E72" i="39"/>
  <c r="F73" i="39" s="1"/>
  <c r="G73" i="39" s="1"/>
  <c r="H73" i="39" s="1"/>
  <c r="I73" i="39" s="1"/>
  <c r="D72" i="39"/>
  <c r="H8" i="22"/>
  <c r="L8" i="22" s="1"/>
  <c r="K8" i="22"/>
  <c r="O6" i="22"/>
  <c r="O8" i="22" s="1"/>
  <c r="P8" i="22" s="1"/>
  <c r="Q39" i="41" l="1"/>
  <c r="G40" i="41"/>
  <c r="C40" i="41"/>
  <c r="U40" i="41" s="1"/>
  <c r="B74" i="39"/>
  <c r="C74" i="39" s="1"/>
  <c r="D74" i="39" s="1"/>
  <c r="E73" i="39"/>
  <c r="F74" i="39" s="1"/>
  <c r="G74" i="39" s="1"/>
  <c r="H74" i="39" s="1"/>
  <c r="I74" i="39" s="1"/>
  <c r="D73" i="39"/>
  <c r="L39" i="41"/>
  <c r="N40" i="41"/>
  <c r="O40" i="41" s="1"/>
  <c r="P40" i="41" s="1"/>
  <c r="Q8" i="22"/>
  <c r="R8" i="22" s="1"/>
  <c r="O9" i="22"/>
  <c r="P9" i="22" s="1"/>
  <c r="I5" i="36"/>
  <c r="K4" i="36" s="1"/>
  <c r="D40" i="41" l="1"/>
  <c r="E40" i="41" s="1"/>
  <c r="H40" i="41"/>
  <c r="B75" i="39"/>
  <c r="C75" i="39" s="1"/>
  <c r="D75" i="39" s="1"/>
  <c r="E74" i="39"/>
  <c r="F75" i="39" s="1"/>
  <c r="G75" i="39" s="1"/>
  <c r="H75" i="39" s="1"/>
  <c r="C9" i="22"/>
  <c r="G9" i="22"/>
  <c r="Q9" i="22"/>
  <c r="R9" i="22" s="1"/>
  <c r="I40" i="41" l="1"/>
  <c r="M40" i="41"/>
  <c r="K40" i="41"/>
  <c r="T40" i="41" s="1"/>
  <c r="B76" i="39"/>
  <c r="C76" i="39" s="1"/>
  <c r="I75" i="39"/>
  <c r="E75" i="39"/>
  <c r="F76" i="39" s="1"/>
  <c r="G76" i="39" s="1"/>
  <c r="H76" i="39" s="1"/>
  <c r="I76" i="39" s="1"/>
  <c r="H9" i="22"/>
  <c r="C10" i="22"/>
  <c r="D9" i="22"/>
  <c r="K9" i="22"/>
  <c r="Q40" i="41" l="1"/>
  <c r="C41" i="41"/>
  <c r="G41" i="41"/>
  <c r="B77" i="39"/>
  <c r="C77" i="39" s="1"/>
  <c r="N41" i="41"/>
  <c r="O41" i="41" s="1"/>
  <c r="P41" i="41" s="1"/>
  <c r="L40" i="41"/>
  <c r="D10" i="22"/>
  <c r="D76" i="39"/>
  <c r="E76" i="39"/>
  <c r="F77" i="39" s="1"/>
  <c r="U41" i="41" l="1"/>
  <c r="H41" i="41"/>
  <c r="D41" i="41"/>
  <c r="E41" i="41" s="1"/>
  <c r="E10" i="22"/>
  <c r="N10" i="22"/>
  <c r="E77" i="39"/>
  <c r="F78" i="39" s="1"/>
  <c r="D77" i="39"/>
  <c r="G77" i="39"/>
  <c r="H77" i="39" s="1"/>
  <c r="I9" i="22"/>
  <c r="I41" i="41" l="1"/>
  <c r="M41" i="41"/>
  <c r="K41" i="41"/>
  <c r="T41" i="41" s="1"/>
  <c r="B78" i="39"/>
  <c r="C78" i="39" s="1"/>
  <c r="I77" i="39"/>
  <c r="G78" i="39"/>
  <c r="H78" i="39" s="1"/>
  <c r="I78" i="39" s="1"/>
  <c r="E9" i="22"/>
  <c r="L9" i="22"/>
  <c r="G10" i="22" s="1"/>
  <c r="N9" i="22"/>
  <c r="O10" i="22" s="1"/>
  <c r="P10" i="22" s="1"/>
  <c r="Q10" i="22" s="1"/>
  <c r="R10" i="22" s="1"/>
  <c r="Q41" i="41" l="1"/>
  <c r="G42" i="41"/>
  <c r="C42" i="41"/>
  <c r="U42" i="41" s="1"/>
  <c r="B79" i="39"/>
  <c r="C79" i="39" s="1"/>
  <c r="L41" i="41"/>
  <c r="N42" i="41"/>
  <c r="O42" i="41" s="1"/>
  <c r="P42" i="41" s="1"/>
  <c r="H10" i="22"/>
  <c r="K10" i="22"/>
  <c r="C11" i="22"/>
  <c r="O11" i="22"/>
  <c r="P11" i="22" s="1"/>
  <c r="Q11" i="22" s="1"/>
  <c r="R11" i="22" s="1"/>
  <c r="D78" i="39"/>
  <c r="E78" i="39"/>
  <c r="F79" i="39" s="1"/>
  <c r="M9" i="22"/>
  <c r="D42" i="41" l="1"/>
  <c r="E42" i="41" s="1"/>
  <c r="H42" i="41"/>
  <c r="C12" i="22"/>
  <c r="D11" i="22"/>
  <c r="I10" i="22"/>
  <c r="L10" i="22"/>
  <c r="G79" i="39"/>
  <c r="H79" i="39" s="1"/>
  <c r="D79" i="39"/>
  <c r="E79" i="39"/>
  <c r="F80" i="39" s="1"/>
  <c r="I42" i="41" l="1"/>
  <c r="M42" i="41"/>
  <c r="K42" i="41"/>
  <c r="T42" i="41" s="1"/>
  <c r="B80" i="39"/>
  <c r="C80" i="39" s="1"/>
  <c r="I79" i="39"/>
  <c r="M10" i="22"/>
  <c r="G11" i="22"/>
  <c r="H11" i="22" s="1"/>
  <c r="E11" i="22"/>
  <c r="N11" i="22"/>
  <c r="O12" i="22" s="1"/>
  <c r="P12" i="22" s="1"/>
  <c r="Q12" i="22" s="1"/>
  <c r="R12" i="22" s="1"/>
  <c r="D12" i="22"/>
  <c r="G80" i="39"/>
  <c r="H80" i="39" s="1"/>
  <c r="I80" i="39" s="1"/>
  <c r="Q42" i="41" l="1"/>
  <c r="C43" i="41"/>
  <c r="G43" i="41"/>
  <c r="B81" i="39"/>
  <c r="C81" i="39" s="1"/>
  <c r="L42" i="41"/>
  <c r="N43" i="41"/>
  <c r="O43" i="41" s="1"/>
  <c r="P43" i="41" s="1"/>
  <c r="K11" i="22"/>
  <c r="I11" i="22"/>
  <c r="L11" i="22"/>
  <c r="G12" i="22" s="1"/>
  <c r="C13" i="22"/>
  <c r="D13" i="22" s="1"/>
  <c r="E12" i="22"/>
  <c r="N12" i="22"/>
  <c r="O13" i="22" s="1"/>
  <c r="P13" i="22" s="1"/>
  <c r="Q13" i="22" s="1"/>
  <c r="R13" i="22" s="1"/>
  <c r="D80" i="39"/>
  <c r="E80" i="39"/>
  <c r="F81" i="39" s="1"/>
  <c r="U43" i="41" l="1"/>
  <c r="H43" i="41"/>
  <c r="D43" i="41"/>
  <c r="E43" i="41" s="1"/>
  <c r="M11" i="22"/>
  <c r="C14" i="22"/>
  <c r="E13" i="22"/>
  <c r="N13" i="22"/>
  <c r="O14" i="22" s="1"/>
  <c r="P14" i="22" s="1"/>
  <c r="Q14" i="22" s="1"/>
  <c r="R14" i="22" s="1"/>
  <c r="G81" i="39"/>
  <c r="H81" i="39" s="1"/>
  <c r="E81" i="39"/>
  <c r="F82" i="39" s="1"/>
  <c r="D81" i="39"/>
  <c r="I43" i="41" l="1"/>
  <c r="M43" i="41"/>
  <c r="K43" i="41"/>
  <c r="T43" i="41" s="1"/>
  <c r="B82" i="39"/>
  <c r="C82" i="39" s="1"/>
  <c r="I81" i="39"/>
  <c r="K12" i="22"/>
  <c r="H12" i="22"/>
  <c r="D14" i="22"/>
  <c r="C15" i="22"/>
  <c r="G82" i="39"/>
  <c r="H82" i="39" s="1"/>
  <c r="Q43" i="41" l="1"/>
  <c r="G44" i="41"/>
  <c r="C44" i="41"/>
  <c r="U44" i="41" s="1"/>
  <c r="B83" i="39"/>
  <c r="I82" i="39"/>
  <c r="L43" i="41"/>
  <c r="N44" i="41"/>
  <c r="C83" i="39"/>
  <c r="I12" i="22"/>
  <c r="L12" i="22"/>
  <c r="G13" i="22" s="1"/>
  <c r="E14" i="22"/>
  <c r="N14" i="22"/>
  <c r="O15" i="22" s="1"/>
  <c r="P15" i="22" s="1"/>
  <c r="Q15" i="22" s="1"/>
  <c r="R15" i="22" s="1"/>
  <c r="D15" i="22"/>
  <c r="D82" i="39"/>
  <c r="E82" i="39"/>
  <c r="F83" i="39" s="1"/>
  <c r="D44" i="41" l="1"/>
  <c r="E44" i="41" s="1"/>
  <c r="H44" i="41"/>
  <c r="O44" i="41"/>
  <c r="P44" i="41" s="1"/>
  <c r="M12" i="22"/>
  <c r="E15" i="22"/>
  <c r="N15" i="22"/>
  <c r="O16" i="22" s="1"/>
  <c r="P16" i="22" s="1"/>
  <c r="Q16" i="22" s="1"/>
  <c r="R16" i="22" s="1"/>
  <c r="C16" i="22"/>
  <c r="G83" i="39"/>
  <c r="H83" i="39" s="1"/>
  <c r="D83" i="39"/>
  <c r="E83" i="39"/>
  <c r="F84" i="39" s="1"/>
  <c r="I44" i="41" l="1"/>
  <c r="M44" i="41"/>
  <c r="K44" i="41"/>
  <c r="T44" i="41" s="1"/>
  <c r="B84" i="39"/>
  <c r="C84" i="39" s="1"/>
  <c r="I83" i="39"/>
  <c r="K13" i="22"/>
  <c r="H13" i="22"/>
  <c r="D16" i="22"/>
  <c r="C17" i="22"/>
  <c r="G84" i="39"/>
  <c r="H84" i="39" s="1"/>
  <c r="I84" i="39" s="1"/>
  <c r="Q44" i="41" l="1"/>
  <c r="G45" i="41"/>
  <c r="C45" i="41"/>
  <c r="U45" i="41" s="1"/>
  <c r="B85" i="39"/>
  <c r="C85" i="39" s="1"/>
  <c r="N45" i="41"/>
  <c r="L44" i="41"/>
  <c r="I13" i="22"/>
  <c r="L13" i="22"/>
  <c r="G14" i="22" s="1"/>
  <c r="D17" i="22"/>
  <c r="E16" i="22"/>
  <c r="N16" i="22"/>
  <c r="O17" i="22" s="1"/>
  <c r="P17" i="22" s="1"/>
  <c r="Q17" i="22" s="1"/>
  <c r="R17" i="22" s="1"/>
  <c r="D84" i="39"/>
  <c r="E84" i="39"/>
  <c r="F85" i="39" s="1"/>
  <c r="D45" i="41" l="1"/>
  <c r="E45" i="41" s="1"/>
  <c r="H45" i="41"/>
  <c r="O45" i="41"/>
  <c r="P45" i="41" s="1"/>
  <c r="M13" i="22"/>
  <c r="C18" i="22"/>
  <c r="E17" i="22"/>
  <c r="N17" i="22"/>
  <c r="O18" i="22" s="1"/>
  <c r="P18" i="22" s="1"/>
  <c r="Q18" i="22" s="1"/>
  <c r="R18" i="22" s="1"/>
  <c r="E85" i="39"/>
  <c r="F86" i="39" s="1"/>
  <c r="D85" i="39"/>
  <c r="G85" i="39"/>
  <c r="H85" i="39" s="1"/>
  <c r="I45" i="41" l="1"/>
  <c r="M45" i="41"/>
  <c r="K45" i="41"/>
  <c r="B86" i="39"/>
  <c r="C86" i="39" s="1"/>
  <c r="I85" i="39"/>
  <c r="H14" i="22"/>
  <c r="K14" i="22"/>
  <c r="D18" i="22"/>
  <c r="C19" i="22"/>
  <c r="G86" i="39"/>
  <c r="H86" i="39" s="1"/>
  <c r="I86" i="39" s="1"/>
  <c r="T45" i="41" l="1"/>
  <c r="C46" i="41"/>
  <c r="G46" i="41"/>
  <c r="Q45" i="41"/>
  <c r="B87" i="39"/>
  <c r="C87" i="39" s="1"/>
  <c r="N46" i="41"/>
  <c r="L45" i="41"/>
  <c r="I14" i="22"/>
  <c r="L14" i="22"/>
  <c r="G15" i="22" s="1"/>
  <c r="D19" i="22"/>
  <c r="E18" i="22"/>
  <c r="N18" i="22"/>
  <c r="O19" i="22" s="1"/>
  <c r="P19" i="22" s="1"/>
  <c r="Q19" i="22" s="1"/>
  <c r="R19" i="22" s="1"/>
  <c r="D86" i="39"/>
  <c r="E86" i="39"/>
  <c r="F87" i="39" s="1"/>
  <c r="D46" i="41" l="1"/>
  <c r="E46" i="41" s="1"/>
  <c r="U46" i="41"/>
  <c r="H46" i="41"/>
  <c r="O46" i="41"/>
  <c r="P46" i="41" s="1"/>
  <c r="M14" i="22"/>
  <c r="C20" i="22"/>
  <c r="E19" i="22"/>
  <c r="N19" i="22"/>
  <c r="O20" i="22" s="1"/>
  <c r="P20" i="22" s="1"/>
  <c r="Q20" i="22" s="1"/>
  <c r="R20" i="22" s="1"/>
  <c r="G87" i="39"/>
  <c r="H87" i="39" s="1"/>
  <c r="D87" i="39"/>
  <c r="E87" i="39"/>
  <c r="F88" i="39" s="1"/>
  <c r="M46" i="41" l="1"/>
  <c r="N47" i="41" s="1"/>
  <c r="O47" i="41" s="1"/>
  <c r="P47" i="41" s="1"/>
  <c r="K46" i="41"/>
  <c r="T46" i="41" s="1"/>
  <c r="I46" i="41"/>
  <c r="B88" i="39"/>
  <c r="C88" i="39" s="1"/>
  <c r="I87" i="39"/>
  <c r="H15" i="22"/>
  <c r="K15" i="22"/>
  <c r="D20" i="22"/>
  <c r="C21" i="22"/>
  <c r="G88" i="39"/>
  <c r="H88" i="39" s="1"/>
  <c r="G47" i="41" l="1"/>
  <c r="C47" i="41"/>
  <c r="U47" i="41" s="1"/>
  <c r="Q46" i="41"/>
  <c r="B89" i="39"/>
  <c r="C89" i="39" s="1"/>
  <c r="I88" i="39"/>
  <c r="L46" i="41"/>
  <c r="L15" i="22"/>
  <c r="G16" i="22" s="1"/>
  <c r="I15" i="22"/>
  <c r="E20" i="22"/>
  <c r="N20" i="22"/>
  <c r="O21" i="22" s="1"/>
  <c r="P21" i="22" s="1"/>
  <c r="Q21" i="22" s="1"/>
  <c r="R21" i="22" s="1"/>
  <c r="D21" i="22"/>
  <c r="D88" i="39"/>
  <c r="E88" i="39"/>
  <c r="F89" i="39" s="1"/>
  <c r="D47" i="41" l="1"/>
  <c r="H47" i="41"/>
  <c r="M47" i="41" s="1"/>
  <c r="C22" i="22"/>
  <c r="D22" i="22" s="1"/>
  <c r="M15" i="22"/>
  <c r="E21" i="22"/>
  <c r="N21" i="22"/>
  <c r="O22" i="22" s="1"/>
  <c r="P22" i="22" s="1"/>
  <c r="Q22" i="22" s="1"/>
  <c r="R22" i="22" s="1"/>
  <c r="E89" i="39"/>
  <c r="F90" i="39" s="1"/>
  <c r="D89" i="39"/>
  <c r="G89" i="39"/>
  <c r="H89" i="39" s="1"/>
  <c r="N48" i="41" l="1"/>
  <c r="O48" i="41" s="1"/>
  <c r="P48" i="41" s="1"/>
  <c r="I47" i="41"/>
  <c r="E47" i="41"/>
  <c r="K47" i="41"/>
  <c r="T47" i="41" s="1"/>
  <c r="B90" i="39"/>
  <c r="C90" i="39" s="1"/>
  <c r="I89" i="39"/>
  <c r="K16" i="22"/>
  <c r="H16" i="22"/>
  <c r="C23" i="22"/>
  <c r="E22" i="22"/>
  <c r="N22" i="22"/>
  <c r="O23" i="22" s="1"/>
  <c r="P23" i="22" s="1"/>
  <c r="Q23" i="22" s="1"/>
  <c r="R23" i="22" s="1"/>
  <c r="G90" i="39"/>
  <c r="H90" i="39" s="1"/>
  <c r="I90" i="39" s="1"/>
  <c r="L47" i="41" l="1"/>
  <c r="Q47" i="41"/>
  <c r="C48" i="41"/>
  <c r="G48" i="41"/>
  <c r="B91" i="39"/>
  <c r="C91" i="39" s="1"/>
  <c r="L16" i="22"/>
  <c r="G17" i="22" s="1"/>
  <c r="I16" i="22"/>
  <c r="D23" i="22"/>
  <c r="C24" i="22"/>
  <c r="D90" i="39"/>
  <c r="E90" i="39"/>
  <c r="F91" i="39" s="1"/>
  <c r="U48" i="41" l="1"/>
  <c r="D48" i="41"/>
  <c r="H48" i="41"/>
  <c r="M48" i="41" s="1"/>
  <c r="M16" i="22"/>
  <c r="D24" i="22"/>
  <c r="E23" i="22"/>
  <c r="N23" i="22"/>
  <c r="O24" i="22" s="1"/>
  <c r="P24" i="22" s="1"/>
  <c r="Q24" i="22" s="1"/>
  <c r="R24" i="22" s="1"/>
  <c r="G91" i="39"/>
  <c r="H91" i="39" s="1"/>
  <c r="D91" i="39"/>
  <c r="E91" i="39"/>
  <c r="F92" i="39" s="1"/>
  <c r="I48" i="41" l="1"/>
  <c r="N49" i="41"/>
  <c r="O49" i="41" s="1"/>
  <c r="P49" i="41" s="1"/>
  <c r="E48" i="41"/>
  <c r="K48" i="41"/>
  <c r="T48" i="41" s="1"/>
  <c r="B92" i="39"/>
  <c r="I91" i="39"/>
  <c r="K17" i="22"/>
  <c r="H17" i="22"/>
  <c r="C25" i="22"/>
  <c r="E24" i="22"/>
  <c r="N24" i="22"/>
  <c r="O25" i="22" s="1"/>
  <c r="P25" i="22" s="1"/>
  <c r="Q25" i="22" s="1"/>
  <c r="R25" i="22" s="1"/>
  <c r="G92" i="39"/>
  <c r="H92" i="39" s="1"/>
  <c r="I92" i="39" s="1"/>
  <c r="C92" i="39"/>
  <c r="Q48" i="41" l="1"/>
  <c r="L48" i="41"/>
  <c r="G49" i="41"/>
  <c r="C49" i="41"/>
  <c r="U49" i="41" s="1"/>
  <c r="B93" i="39"/>
  <c r="C93" i="39"/>
  <c r="I17" i="22"/>
  <c r="L17" i="22"/>
  <c r="G18" i="22" s="1"/>
  <c r="D25" i="22"/>
  <c r="C26" i="22"/>
  <c r="D92" i="39"/>
  <c r="E92" i="39"/>
  <c r="F93" i="39" s="1"/>
  <c r="H49" i="41" l="1"/>
  <c r="M49" i="41" s="1"/>
  <c r="D49" i="41"/>
  <c r="M17" i="22"/>
  <c r="D26" i="22"/>
  <c r="E25" i="22"/>
  <c r="N25" i="22"/>
  <c r="O26" i="22" s="1"/>
  <c r="P26" i="22" s="1"/>
  <c r="Q26" i="22" s="1"/>
  <c r="R26" i="22" s="1"/>
  <c r="G93" i="39"/>
  <c r="H93" i="39" s="1"/>
  <c r="E93" i="39"/>
  <c r="F94" i="39" s="1"/>
  <c r="D93" i="39"/>
  <c r="K49" i="41" l="1"/>
  <c r="T49" i="41" s="1"/>
  <c r="E49" i="41"/>
  <c r="N50" i="41"/>
  <c r="O50" i="41" s="1"/>
  <c r="P50" i="41" s="1"/>
  <c r="I49" i="41"/>
  <c r="B94" i="39"/>
  <c r="C94" i="39" s="1"/>
  <c r="I93" i="39"/>
  <c r="K18" i="22"/>
  <c r="H18" i="22"/>
  <c r="C27" i="22"/>
  <c r="E26" i="22"/>
  <c r="N26" i="22"/>
  <c r="O27" i="22" s="1"/>
  <c r="P27" i="22" s="1"/>
  <c r="Q27" i="22" s="1"/>
  <c r="R27" i="22" s="1"/>
  <c r="G94" i="39"/>
  <c r="H94" i="39" s="1"/>
  <c r="L49" i="41" l="1"/>
  <c r="Q49" i="41"/>
  <c r="G50" i="41"/>
  <c r="C50" i="41"/>
  <c r="U50" i="41" s="1"/>
  <c r="B95" i="39"/>
  <c r="I94" i="39"/>
  <c r="C95" i="39"/>
  <c r="L18" i="22"/>
  <c r="G19" i="22" s="1"/>
  <c r="I18" i="22"/>
  <c r="C28" i="22"/>
  <c r="D27" i="22"/>
  <c r="D94" i="39"/>
  <c r="E94" i="39"/>
  <c r="F95" i="39" s="1"/>
  <c r="D50" i="41" l="1"/>
  <c r="H50" i="41"/>
  <c r="M50" i="41" s="1"/>
  <c r="M18" i="22"/>
  <c r="E27" i="22"/>
  <c r="N27" i="22"/>
  <c r="O28" i="22" s="1"/>
  <c r="P28" i="22" s="1"/>
  <c r="Q28" i="22" s="1"/>
  <c r="R28" i="22" s="1"/>
  <c r="D28" i="22"/>
  <c r="G95" i="39"/>
  <c r="H95" i="39" s="1"/>
  <c r="D95" i="39"/>
  <c r="E95" i="39"/>
  <c r="F96" i="39" s="1"/>
  <c r="I50" i="41" l="1"/>
  <c r="N51" i="41"/>
  <c r="O51" i="41" s="1"/>
  <c r="P51" i="41" s="1"/>
  <c r="E50" i="41"/>
  <c r="K50" i="41"/>
  <c r="T50" i="41" s="1"/>
  <c r="B96" i="39"/>
  <c r="C96" i="39" s="1"/>
  <c r="I95" i="39"/>
  <c r="K19" i="22"/>
  <c r="H19" i="22"/>
  <c r="E28" i="22"/>
  <c r="N28" i="22"/>
  <c r="O29" i="22" s="1"/>
  <c r="P29" i="22" s="1"/>
  <c r="Q29" i="22" s="1"/>
  <c r="R29" i="22" s="1"/>
  <c r="C29" i="22"/>
  <c r="G96" i="39"/>
  <c r="H96" i="39" s="1"/>
  <c r="Q50" i="41" l="1"/>
  <c r="L50" i="41"/>
  <c r="G51" i="41"/>
  <c r="C51" i="41"/>
  <c r="U51" i="41" s="1"/>
  <c r="B97" i="39"/>
  <c r="I96" i="39"/>
  <c r="C97" i="39"/>
  <c r="I19" i="22"/>
  <c r="L19" i="22"/>
  <c r="G20" i="22" s="1"/>
  <c r="D29" i="22"/>
  <c r="C30" i="22"/>
  <c r="D96" i="39"/>
  <c r="E96" i="39"/>
  <c r="F97" i="39" s="1"/>
  <c r="D51" i="41" l="1"/>
  <c r="H51" i="41"/>
  <c r="M51" i="41" s="1"/>
  <c r="M19" i="22"/>
  <c r="E29" i="22"/>
  <c r="N29" i="22"/>
  <c r="O30" i="22" s="1"/>
  <c r="P30" i="22" s="1"/>
  <c r="Q30" i="22" s="1"/>
  <c r="R30" i="22" s="1"/>
  <c r="D30" i="22"/>
  <c r="G97" i="39"/>
  <c r="H97" i="39" s="1"/>
  <c r="E97" i="39"/>
  <c r="F98" i="39" s="1"/>
  <c r="D97" i="39"/>
  <c r="N52" i="41" l="1"/>
  <c r="O52" i="41" s="1"/>
  <c r="P52" i="41" s="1"/>
  <c r="I51" i="41"/>
  <c r="K51" i="41"/>
  <c r="T51" i="41" s="1"/>
  <c r="E51" i="41"/>
  <c r="B98" i="39"/>
  <c r="C98" i="39" s="1"/>
  <c r="I97" i="39"/>
  <c r="H20" i="22"/>
  <c r="K20" i="22"/>
  <c r="C31" i="22"/>
  <c r="E30" i="22"/>
  <c r="N30" i="22"/>
  <c r="O31" i="22" s="1"/>
  <c r="P31" i="22" s="1"/>
  <c r="Q31" i="22" s="1"/>
  <c r="R31" i="22" s="1"/>
  <c r="G98" i="39"/>
  <c r="H98" i="39" s="1"/>
  <c r="I98" i="39" s="1"/>
  <c r="L51" i="41" l="1"/>
  <c r="Q51" i="41"/>
  <c r="C52" i="41"/>
  <c r="G52" i="41"/>
  <c r="B99" i="39"/>
  <c r="C99" i="39" s="1"/>
  <c r="I20" i="22"/>
  <c r="L20" i="22"/>
  <c r="G21" i="22" s="1"/>
  <c r="C32" i="22"/>
  <c r="D31" i="22"/>
  <c r="D98" i="39"/>
  <c r="E98" i="39"/>
  <c r="F99" i="39" s="1"/>
  <c r="U52" i="41" l="1"/>
  <c r="H52" i="41"/>
  <c r="M52" i="41" s="1"/>
  <c r="D52" i="41"/>
  <c r="M20" i="22"/>
  <c r="D32" i="22"/>
  <c r="E31" i="22"/>
  <c r="N31" i="22"/>
  <c r="O32" i="22" s="1"/>
  <c r="P32" i="22" s="1"/>
  <c r="Q32" i="22" s="1"/>
  <c r="R32" i="22" s="1"/>
  <c r="G99" i="39"/>
  <c r="H99" i="39" s="1"/>
  <c r="D99" i="39"/>
  <c r="E99" i="39"/>
  <c r="F100" i="39" s="1"/>
  <c r="E52" i="41" l="1"/>
  <c r="K52" i="41"/>
  <c r="T52" i="41" s="1"/>
  <c r="I52" i="41"/>
  <c r="N53" i="41"/>
  <c r="O53" i="41" s="1"/>
  <c r="P53" i="41" s="1"/>
  <c r="B100" i="39"/>
  <c r="C100" i="39" s="1"/>
  <c r="I99" i="39"/>
  <c r="H21" i="22"/>
  <c r="K21" i="22"/>
  <c r="C33" i="22"/>
  <c r="E32" i="22"/>
  <c r="N32" i="22"/>
  <c r="O33" i="22" s="1"/>
  <c r="P33" i="22" s="1"/>
  <c r="Q33" i="22" s="1"/>
  <c r="R33" i="22" s="1"/>
  <c r="G100" i="39"/>
  <c r="H100" i="39" s="1"/>
  <c r="L52" i="41" l="1"/>
  <c r="Q52" i="41"/>
  <c r="C53" i="41"/>
  <c r="G53" i="41"/>
  <c r="B101" i="39"/>
  <c r="I100" i="39"/>
  <c r="C101" i="39"/>
  <c r="I21" i="22"/>
  <c r="L21" i="22"/>
  <c r="G22" i="22" s="1"/>
  <c r="C34" i="22"/>
  <c r="D33" i="22"/>
  <c r="D100" i="39"/>
  <c r="E100" i="39"/>
  <c r="F101" i="39" s="1"/>
  <c r="U53" i="41" l="1"/>
  <c r="H53" i="41"/>
  <c r="M53" i="41" s="1"/>
  <c r="D53" i="41"/>
  <c r="M21" i="22"/>
  <c r="D34" i="22"/>
  <c r="E33" i="22"/>
  <c r="N33" i="22"/>
  <c r="O34" i="22" s="1"/>
  <c r="P34" i="22" s="1"/>
  <c r="Q34" i="22" s="1"/>
  <c r="R34" i="22" s="1"/>
  <c r="E101" i="39"/>
  <c r="F102" i="39" s="1"/>
  <c r="D101" i="39"/>
  <c r="G101" i="39"/>
  <c r="H101" i="39" s="1"/>
  <c r="E53" i="41" l="1"/>
  <c r="K53" i="41"/>
  <c r="T53" i="41" s="1"/>
  <c r="I53" i="41"/>
  <c r="N54" i="41"/>
  <c r="O54" i="41" s="1"/>
  <c r="P54" i="41" s="1"/>
  <c r="B102" i="39"/>
  <c r="C102" i="39" s="1"/>
  <c r="I101" i="39"/>
  <c r="K22" i="22"/>
  <c r="H22" i="22"/>
  <c r="C35" i="22"/>
  <c r="E34" i="22"/>
  <c r="N34" i="22"/>
  <c r="O35" i="22" s="1"/>
  <c r="P35" i="22" s="1"/>
  <c r="Q35" i="22" s="1"/>
  <c r="R35" i="22" s="1"/>
  <c r="G102" i="39"/>
  <c r="H102" i="39" s="1"/>
  <c r="I102" i="39" s="1"/>
  <c r="Q53" i="41" l="1"/>
  <c r="L53" i="41"/>
  <c r="C54" i="41"/>
  <c r="G54" i="41"/>
  <c r="B103" i="39"/>
  <c r="C103" i="39" s="1"/>
  <c r="L22" i="22"/>
  <c r="G23" i="22" s="1"/>
  <c r="I22" i="22"/>
  <c r="D35" i="22"/>
  <c r="C36" i="22"/>
  <c r="D102" i="39"/>
  <c r="E102" i="39"/>
  <c r="F103" i="39" s="1"/>
  <c r="U54" i="41" l="1"/>
  <c r="H54" i="41"/>
  <c r="M54" i="41" s="1"/>
  <c r="D54" i="41"/>
  <c r="M22" i="22"/>
  <c r="E35" i="22"/>
  <c r="N35" i="22"/>
  <c r="O36" i="22" s="1"/>
  <c r="P36" i="22" s="1"/>
  <c r="Q36" i="22" s="1"/>
  <c r="R36" i="22" s="1"/>
  <c r="D36" i="22"/>
  <c r="G103" i="39"/>
  <c r="H103" i="39" s="1"/>
  <c r="D103" i="39"/>
  <c r="E103" i="39"/>
  <c r="F104" i="39" s="1"/>
  <c r="E54" i="41" l="1"/>
  <c r="K54" i="41"/>
  <c r="T54" i="41" s="1"/>
  <c r="I54" i="41"/>
  <c r="N55" i="41"/>
  <c r="O55" i="41" s="1"/>
  <c r="P55" i="41" s="1"/>
  <c r="B104" i="39"/>
  <c r="I103" i="39"/>
  <c r="K23" i="22"/>
  <c r="H23" i="22"/>
  <c r="E36" i="22"/>
  <c r="N36" i="22"/>
  <c r="O37" i="22" s="1"/>
  <c r="P37" i="22" s="1"/>
  <c r="Q37" i="22" s="1"/>
  <c r="R37" i="22" s="1"/>
  <c r="C37" i="22"/>
  <c r="G104" i="39"/>
  <c r="H104" i="39" s="1"/>
  <c r="I104" i="39" s="1"/>
  <c r="C104" i="39"/>
  <c r="L54" i="41" l="1"/>
  <c r="Q54" i="41"/>
  <c r="G55" i="41"/>
  <c r="C55" i="41"/>
  <c r="U55" i="41" s="1"/>
  <c r="B105" i="39"/>
  <c r="C105" i="39" s="1"/>
  <c r="L23" i="22"/>
  <c r="G24" i="22" s="1"/>
  <c r="I23" i="22"/>
  <c r="C38" i="22"/>
  <c r="D37" i="22"/>
  <c r="D104" i="39"/>
  <c r="E104" i="39"/>
  <c r="F105" i="39" s="1"/>
  <c r="H55" i="41" l="1"/>
  <c r="M55" i="41" s="1"/>
  <c r="D55" i="41"/>
  <c r="M23" i="22"/>
  <c r="D38" i="22"/>
  <c r="E37" i="22"/>
  <c r="N37" i="22"/>
  <c r="O38" i="22" s="1"/>
  <c r="P38" i="22" s="1"/>
  <c r="Q38" i="22" s="1"/>
  <c r="R38" i="22" s="1"/>
  <c r="G105" i="39"/>
  <c r="H105" i="39" s="1"/>
  <c r="E105" i="39"/>
  <c r="F106" i="39" s="1"/>
  <c r="D105" i="39"/>
  <c r="K55" i="41" l="1"/>
  <c r="T55" i="41" s="1"/>
  <c r="E55" i="41"/>
  <c r="I55" i="41"/>
  <c r="N56" i="41"/>
  <c r="O56" i="41" s="1"/>
  <c r="P56" i="41" s="1"/>
  <c r="B106" i="39"/>
  <c r="C106" i="39" s="1"/>
  <c r="I105" i="39"/>
  <c r="H24" i="22"/>
  <c r="K24" i="22"/>
  <c r="C39" i="22"/>
  <c r="E38" i="22"/>
  <c r="N38" i="22"/>
  <c r="O39" i="22" s="1"/>
  <c r="P39" i="22" s="1"/>
  <c r="Q39" i="22" s="1"/>
  <c r="R39" i="22" s="1"/>
  <c r="G106" i="39"/>
  <c r="H106" i="39" s="1"/>
  <c r="L55" i="41" l="1"/>
  <c r="Q55" i="41"/>
  <c r="G56" i="41"/>
  <c r="C56" i="41"/>
  <c r="U56" i="41" s="1"/>
  <c r="B107" i="39"/>
  <c r="I106" i="39"/>
  <c r="C107" i="39"/>
  <c r="L24" i="22"/>
  <c r="G25" i="22" s="1"/>
  <c r="I24" i="22"/>
  <c r="C40" i="22"/>
  <c r="D39" i="22"/>
  <c r="D106" i="39"/>
  <c r="E106" i="39"/>
  <c r="F107" i="39" s="1"/>
  <c r="D56" i="41" l="1"/>
  <c r="H56" i="41"/>
  <c r="M56" i="41" s="1"/>
  <c r="M24" i="22"/>
  <c r="E39" i="22"/>
  <c r="N39" i="22"/>
  <c r="O40" i="22" s="1"/>
  <c r="P40" i="22" s="1"/>
  <c r="Q40" i="22" s="1"/>
  <c r="R40" i="22" s="1"/>
  <c r="D40" i="22"/>
  <c r="G107" i="39"/>
  <c r="H107" i="39" s="1"/>
  <c r="D107" i="39"/>
  <c r="E107" i="39"/>
  <c r="F108" i="39" s="1"/>
  <c r="I56" i="41" l="1"/>
  <c r="N57" i="41"/>
  <c r="O57" i="41" s="1"/>
  <c r="P57" i="41" s="1"/>
  <c r="E56" i="41"/>
  <c r="K56" i="41"/>
  <c r="T56" i="41" s="1"/>
  <c r="B108" i="39"/>
  <c r="I107" i="39"/>
  <c r="K25" i="22"/>
  <c r="H25" i="22"/>
  <c r="C41" i="22"/>
  <c r="E40" i="22"/>
  <c r="N40" i="22"/>
  <c r="O41" i="22" s="1"/>
  <c r="P41" i="22" s="1"/>
  <c r="Q41" i="22" s="1"/>
  <c r="R41" i="22" s="1"/>
  <c r="G108" i="39"/>
  <c r="H108" i="39" s="1"/>
  <c r="I108" i="39" s="1"/>
  <c r="C108" i="39"/>
  <c r="Q56" i="41" l="1"/>
  <c r="L56" i="41"/>
  <c r="G57" i="41"/>
  <c r="C57" i="41"/>
  <c r="U57" i="41" s="1"/>
  <c r="B109" i="39"/>
  <c r="C109" i="39" s="1"/>
  <c r="L25" i="22"/>
  <c r="G26" i="22" s="1"/>
  <c r="I25" i="22"/>
  <c r="C42" i="22"/>
  <c r="D41" i="22"/>
  <c r="D108" i="39"/>
  <c r="E108" i="39"/>
  <c r="F109" i="39" s="1"/>
  <c r="D57" i="41" l="1"/>
  <c r="H57" i="41"/>
  <c r="M57" i="41" s="1"/>
  <c r="M25" i="22"/>
  <c r="D42" i="22"/>
  <c r="E41" i="22"/>
  <c r="N41" i="22"/>
  <c r="O42" i="22" s="1"/>
  <c r="P42" i="22" s="1"/>
  <c r="Q42" i="22" s="1"/>
  <c r="R42" i="22" s="1"/>
  <c r="G109" i="39"/>
  <c r="H109" i="39" s="1"/>
  <c r="E109" i="39"/>
  <c r="F110" i="39" s="1"/>
  <c r="D109" i="39"/>
  <c r="N58" i="41" l="1"/>
  <c r="O58" i="41" s="1"/>
  <c r="P58" i="41" s="1"/>
  <c r="I57" i="41"/>
  <c r="E57" i="41"/>
  <c r="K57" i="41"/>
  <c r="T57" i="41" s="1"/>
  <c r="B110" i="39"/>
  <c r="C110" i="39" s="1"/>
  <c r="I109" i="39"/>
  <c r="K26" i="22"/>
  <c r="H26" i="22"/>
  <c r="C43" i="22"/>
  <c r="E42" i="22"/>
  <c r="N42" i="22"/>
  <c r="O43" i="22" s="1"/>
  <c r="P43" i="22" s="1"/>
  <c r="Q43" i="22" s="1"/>
  <c r="R43" i="22" s="1"/>
  <c r="G110" i="39"/>
  <c r="H110" i="39" s="1"/>
  <c r="Q57" i="41" l="1"/>
  <c r="L57" i="41"/>
  <c r="G58" i="41"/>
  <c r="C58" i="41"/>
  <c r="U58" i="41" s="1"/>
  <c r="B111" i="39"/>
  <c r="C111" i="39" s="1"/>
  <c r="I110" i="39"/>
  <c r="L26" i="22"/>
  <c r="G27" i="22" s="1"/>
  <c r="I26" i="22"/>
  <c r="D43" i="22"/>
  <c r="C44" i="22"/>
  <c r="D110" i="39"/>
  <c r="E110" i="39"/>
  <c r="F111" i="39" s="1"/>
  <c r="H58" i="41" l="1"/>
  <c r="M58" i="41" s="1"/>
  <c r="D58" i="41"/>
  <c r="M26" i="22"/>
  <c r="E43" i="22"/>
  <c r="N43" i="22"/>
  <c r="O44" i="22" s="1"/>
  <c r="P44" i="22" s="1"/>
  <c r="Q44" i="22" s="1"/>
  <c r="R44" i="22" s="1"/>
  <c r="D44" i="22"/>
  <c r="G111" i="39"/>
  <c r="H111" i="39" s="1"/>
  <c r="D111" i="39"/>
  <c r="E111" i="39"/>
  <c r="F112" i="39" s="1"/>
  <c r="E58" i="41" l="1"/>
  <c r="K58" i="41"/>
  <c r="T58" i="41" s="1"/>
  <c r="I58" i="41"/>
  <c r="N59" i="41"/>
  <c r="O59" i="41" s="1"/>
  <c r="P59" i="41" s="1"/>
  <c r="B112" i="39"/>
  <c r="C112" i="39" s="1"/>
  <c r="I111" i="39"/>
  <c r="C45" i="22"/>
  <c r="D45" i="22" s="1"/>
  <c r="K27" i="22"/>
  <c r="H27" i="22"/>
  <c r="E44" i="22"/>
  <c r="N44" i="22"/>
  <c r="O45" i="22" s="1"/>
  <c r="P45" i="22" s="1"/>
  <c r="Q45" i="22" s="1"/>
  <c r="R45" i="22" s="1"/>
  <c r="G112" i="39"/>
  <c r="H112" i="39" s="1"/>
  <c r="Q58" i="41" l="1"/>
  <c r="L58" i="41"/>
  <c r="C59" i="41"/>
  <c r="G59" i="41"/>
  <c r="B113" i="39"/>
  <c r="C113" i="39" s="1"/>
  <c r="I112" i="39"/>
  <c r="I27" i="22"/>
  <c r="L27" i="22"/>
  <c r="G28" i="22" s="1"/>
  <c r="E45" i="22"/>
  <c r="N45" i="22"/>
  <c r="O46" i="22" s="1"/>
  <c r="P46" i="22" s="1"/>
  <c r="Q46" i="22" s="1"/>
  <c r="R46" i="22" s="1"/>
  <c r="C46" i="22"/>
  <c r="D112" i="39"/>
  <c r="E112" i="39"/>
  <c r="F113" i="39" s="1"/>
  <c r="U59" i="41" l="1"/>
  <c r="H59" i="41"/>
  <c r="M59" i="41" s="1"/>
  <c r="D59" i="41"/>
  <c r="M27" i="22"/>
  <c r="D46" i="22"/>
  <c r="C47" i="22"/>
  <c r="E113" i="39"/>
  <c r="F114" i="39" s="1"/>
  <c r="D113" i="39"/>
  <c r="G113" i="39"/>
  <c r="H113" i="39" s="1"/>
  <c r="K59" i="41" l="1"/>
  <c r="T59" i="41" s="1"/>
  <c r="E59" i="41"/>
  <c r="N60" i="41"/>
  <c r="O60" i="41" s="1"/>
  <c r="P60" i="41" s="1"/>
  <c r="I59" i="41"/>
  <c r="B114" i="39"/>
  <c r="C114" i="39" s="1"/>
  <c r="I113" i="39"/>
  <c r="H28" i="22"/>
  <c r="K28" i="22"/>
  <c r="D47" i="22"/>
  <c r="E46" i="22"/>
  <c r="N46" i="22"/>
  <c r="O47" i="22" s="1"/>
  <c r="P47" i="22" s="1"/>
  <c r="Q47" i="22" s="1"/>
  <c r="R47" i="22" s="1"/>
  <c r="G114" i="39"/>
  <c r="H114" i="39" s="1"/>
  <c r="I114" i="39" s="1"/>
  <c r="Q59" i="41" l="1"/>
  <c r="L59" i="41"/>
  <c r="G60" i="41"/>
  <c r="C60" i="41"/>
  <c r="B115" i="39"/>
  <c r="C115" i="39" s="1"/>
  <c r="L28" i="22"/>
  <c r="G29" i="22" s="1"/>
  <c r="I28" i="22"/>
  <c r="E47" i="22"/>
  <c r="N47" i="22"/>
  <c r="O48" i="22" s="1"/>
  <c r="P48" i="22" s="1"/>
  <c r="Q48" i="22" s="1"/>
  <c r="R48" i="22" s="1"/>
  <c r="C48" i="22"/>
  <c r="D114" i="39"/>
  <c r="E114" i="39"/>
  <c r="F115" i="39" s="1"/>
  <c r="U60" i="41" l="1"/>
  <c r="D60" i="41"/>
  <c r="H60" i="41"/>
  <c r="M60" i="41" s="1"/>
  <c r="M28" i="22"/>
  <c r="D48" i="22"/>
  <c r="C49" i="22"/>
  <c r="G115" i="39"/>
  <c r="H115" i="39" s="1"/>
  <c r="D115" i="39"/>
  <c r="E115" i="39"/>
  <c r="F116" i="39" s="1"/>
  <c r="I60" i="41" l="1"/>
  <c r="N61" i="41"/>
  <c r="O61" i="41" s="1"/>
  <c r="P61" i="41" s="1"/>
  <c r="E60" i="41"/>
  <c r="K60" i="41"/>
  <c r="T60" i="41" s="1"/>
  <c r="B116" i="39"/>
  <c r="C116" i="39" s="1"/>
  <c r="I115" i="39"/>
  <c r="K29" i="22"/>
  <c r="H29" i="22"/>
  <c r="D49" i="22"/>
  <c r="E48" i="22"/>
  <c r="N48" i="22"/>
  <c r="O49" i="22" s="1"/>
  <c r="P49" i="22" s="1"/>
  <c r="Q49" i="22" s="1"/>
  <c r="R49" i="22" s="1"/>
  <c r="G116" i="39"/>
  <c r="H116" i="39" s="1"/>
  <c r="L60" i="41" l="1"/>
  <c r="Q60" i="41"/>
  <c r="G61" i="41"/>
  <c r="C61" i="41"/>
  <c r="U61" i="41" s="1"/>
  <c r="B117" i="39"/>
  <c r="C117" i="39" s="1"/>
  <c r="I116" i="39"/>
  <c r="L29" i="22"/>
  <c r="G30" i="22" s="1"/>
  <c r="I29" i="22"/>
  <c r="N49" i="22"/>
  <c r="O50" i="22" s="1"/>
  <c r="P50" i="22" s="1"/>
  <c r="Q50" i="22" s="1"/>
  <c r="R50" i="22" s="1"/>
  <c r="E49" i="22"/>
  <c r="C50" i="22"/>
  <c r="D116" i="39"/>
  <c r="E116" i="39"/>
  <c r="F117" i="39" s="1"/>
  <c r="D61" i="41" l="1"/>
  <c r="H61" i="41"/>
  <c r="M61" i="41" s="1"/>
  <c r="M29" i="22"/>
  <c r="D50" i="22"/>
  <c r="C51" i="22"/>
  <c r="E117" i="39"/>
  <c r="F118" i="39" s="1"/>
  <c r="D117" i="39"/>
  <c r="G117" i="39"/>
  <c r="H117" i="39" s="1"/>
  <c r="I61" i="41" l="1"/>
  <c r="N62" i="41"/>
  <c r="O62" i="41" s="1"/>
  <c r="P62" i="41" s="1"/>
  <c r="E61" i="41"/>
  <c r="K61" i="41"/>
  <c r="T61" i="41" s="1"/>
  <c r="B118" i="39"/>
  <c r="C118" i="39" s="1"/>
  <c r="I117" i="39"/>
  <c r="K30" i="22"/>
  <c r="H30" i="22"/>
  <c r="D51" i="22"/>
  <c r="N50" i="22"/>
  <c r="O51" i="22" s="1"/>
  <c r="P51" i="22" s="1"/>
  <c r="Q51" i="22" s="1"/>
  <c r="R51" i="22" s="1"/>
  <c r="E50" i="22"/>
  <c r="G118" i="39"/>
  <c r="H118" i="39" s="1"/>
  <c r="L61" i="41" l="1"/>
  <c r="Q61" i="41"/>
  <c r="G62" i="41"/>
  <c r="C62" i="41"/>
  <c r="U62" i="41" s="1"/>
  <c r="B119" i="39"/>
  <c r="C119" i="39" s="1"/>
  <c r="I118" i="39"/>
  <c r="I30" i="22"/>
  <c r="L30" i="22"/>
  <c r="G31" i="22" s="1"/>
  <c r="C52" i="22"/>
  <c r="E51" i="22"/>
  <c r="N51" i="22"/>
  <c r="O52" i="22" s="1"/>
  <c r="P52" i="22" s="1"/>
  <c r="Q52" i="22" s="1"/>
  <c r="R52" i="22" s="1"/>
  <c r="D118" i="39"/>
  <c r="E118" i="39"/>
  <c r="F119" i="39" s="1"/>
  <c r="H62" i="41" l="1"/>
  <c r="M62" i="41" s="1"/>
  <c r="D62" i="41"/>
  <c r="M30" i="22"/>
  <c r="D52" i="22"/>
  <c r="C53" i="22"/>
  <c r="G119" i="39"/>
  <c r="H119" i="39" s="1"/>
  <c r="D119" i="39"/>
  <c r="E119" i="39"/>
  <c r="F120" i="39" s="1"/>
  <c r="E62" i="41" l="1"/>
  <c r="K62" i="41"/>
  <c r="T62" i="41" s="1"/>
  <c r="I62" i="41"/>
  <c r="N63" i="41"/>
  <c r="O63" i="41" s="1"/>
  <c r="P63" i="41" s="1"/>
  <c r="B120" i="39"/>
  <c r="I119" i="39"/>
  <c r="K31" i="22"/>
  <c r="H31" i="22"/>
  <c r="D53" i="22"/>
  <c r="N52" i="22"/>
  <c r="O53" i="22" s="1"/>
  <c r="P53" i="22" s="1"/>
  <c r="Q53" i="22" s="1"/>
  <c r="R53" i="22" s="1"/>
  <c r="E52" i="22"/>
  <c r="G120" i="39"/>
  <c r="H120" i="39" s="1"/>
  <c r="I120" i="39" s="1"/>
  <c r="C120" i="39"/>
  <c r="Q62" i="41" l="1"/>
  <c r="L62" i="41"/>
  <c r="G63" i="41"/>
  <c r="C63" i="41"/>
  <c r="U63" i="41" s="1"/>
  <c r="B121" i="39"/>
  <c r="C121" i="39" s="1"/>
  <c r="L31" i="22"/>
  <c r="G32" i="22" s="1"/>
  <c r="I31" i="22"/>
  <c r="C54" i="22"/>
  <c r="N53" i="22"/>
  <c r="O54" i="22" s="1"/>
  <c r="P54" i="22" s="1"/>
  <c r="Q54" i="22" s="1"/>
  <c r="R54" i="22" s="1"/>
  <c r="E53" i="22"/>
  <c r="D120" i="39"/>
  <c r="E120" i="39"/>
  <c r="F121" i="39" s="1"/>
  <c r="D63" i="41" l="1"/>
  <c r="H63" i="41"/>
  <c r="M63" i="41" s="1"/>
  <c r="M31" i="22"/>
  <c r="C55" i="22"/>
  <c r="D54" i="22"/>
  <c r="G121" i="39"/>
  <c r="H121" i="39" s="1"/>
  <c r="E121" i="39"/>
  <c r="F122" i="39" s="1"/>
  <c r="D121" i="39"/>
  <c r="N64" i="41" l="1"/>
  <c r="O64" i="41" s="1"/>
  <c r="P64" i="41" s="1"/>
  <c r="I63" i="41"/>
  <c r="K63" i="41"/>
  <c r="T63" i="41" s="1"/>
  <c r="E63" i="41"/>
  <c r="B122" i="39"/>
  <c r="I121" i="39"/>
  <c r="K32" i="22"/>
  <c r="H32" i="22"/>
  <c r="D55" i="22"/>
  <c r="N54" i="22"/>
  <c r="O55" i="22" s="1"/>
  <c r="P55" i="22" s="1"/>
  <c r="Q55" i="22" s="1"/>
  <c r="R55" i="22" s="1"/>
  <c r="E54" i="22"/>
  <c r="G122" i="39"/>
  <c r="H122" i="39" s="1"/>
  <c r="I122" i="39" s="1"/>
  <c r="C122" i="39"/>
  <c r="Q63" i="41" l="1"/>
  <c r="L63" i="41"/>
  <c r="C64" i="41"/>
  <c r="G64" i="41"/>
  <c r="B123" i="39"/>
  <c r="C123" i="39" s="1"/>
  <c r="I32" i="22"/>
  <c r="L32" i="22"/>
  <c r="G33" i="22" s="1"/>
  <c r="C56" i="22"/>
  <c r="E55" i="22"/>
  <c r="N55" i="22"/>
  <c r="O56" i="22" s="1"/>
  <c r="P56" i="22" s="1"/>
  <c r="Q56" i="22" s="1"/>
  <c r="R56" i="22" s="1"/>
  <c r="D122" i="39"/>
  <c r="E122" i="39"/>
  <c r="F123" i="39" s="1"/>
  <c r="U64" i="41" l="1"/>
  <c r="H64" i="41"/>
  <c r="M64" i="41" s="1"/>
  <c r="D64" i="41"/>
  <c r="M32" i="22"/>
  <c r="D56" i="22"/>
  <c r="C57" i="22"/>
  <c r="G123" i="39"/>
  <c r="H123" i="39" s="1"/>
  <c r="D123" i="39"/>
  <c r="E123" i="39"/>
  <c r="F124" i="39" s="1"/>
  <c r="E64" i="41" l="1"/>
  <c r="K64" i="41"/>
  <c r="T64" i="41" s="1"/>
  <c r="N65" i="41"/>
  <c r="O65" i="41" s="1"/>
  <c r="P65" i="41" s="1"/>
  <c r="I64" i="41"/>
  <c r="B124" i="39"/>
  <c r="I123" i="39"/>
  <c r="K33" i="22"/>
  <c r="H33" i="22"/>
  <c r="D57" i="22"/>
  <c r="E56" i="22"/>
  <c r="N56" i="22"/>
  <c r="O57" i="22" s="1"/>
  <c r="P57" i="22" s="1"/>
  <c r="Q57" i="22" s="1"/>
  <c r="R57" i="22" s="1"/>
  <c r="G124" i="39"/>
  <c r="H124" i="39" s="1"/>
  <c r="I124" i="39" s="1"/>
  <c r="C124" i="39"/>
  <c r="L64" i="41" l="1"/>
  <c r="Q64" i="41"/>
  <c r="G65" i="41"/>
  <c r="C65" i="41"/>
  <c r="U65" i="41" s="1"/>
  <c r="B125" i="39"/>
  <c r="C125" i="39" s="1"/>
  <c r="D125" i="39" s="1"/>
  <c r="I33" i="22"/>
  <c r="L33" i="22"/>
  <c r="G34" i="22" s="1"/>
  <c r="C58" i="22"/>
  <c r="E57" i="22"/>
  <c r="N57" i="22"/>
  <c r="O58" i="22" s="1"/>
  <c r="P58" i="22" s="1"/>
  <c r="Q58" i="22" s="1"/>
  <c r="R58" i="22" s="1"/>
  <c r="D124" i="39"/>
  <c r="E124" i="39"/>
  <c r="F125" i="39" s="1"/>
  <c r="G125" i="39" s="1"/>
  <c r="H125" i="39" s="1"/>
  <c r="I125" i="39" s="1"/>
  <c r="H65" i="41" l="1"/>
  <c r="M65" i="41" s="1"/>
  <c r="D65" i="41"/>
  <c r="E125" i="39"/>
  <c r="M33" i="22"/>
  <c r="D58" i="22"/>
  <c r="C59" i="22"/>
  <c r="E65" i="41" l="1"/>
  <c r="K65" i="41"/>
  <c r="T65" i="41" s="1"/>
  <c r="N66" i="41"/>
  <c r="O66" i="41" s="1"/>
  <c r="P66" i="41" s="1"/>
  <c r="I65" i="41"/>
  <c r="K34" i="22"/>
  <c r="H34" i="22"/>
  <c r="D59" i="22"/>
  <c r="E58" i="22"/>
  <c r="N58" i="22"/>
  <c r="O59" i="22" s="1"/>
  <c r="P59" i="22" s="1"/>
  <c r="Q59" i="22" s="1"/>
  <c r="R59" i="22" s="1"/>
  <c r="Q65" i="41" l="1"/>
  <c r="L65" i="41"/>
  <c r="G66" i="41"/>
  <c r="C66" i="41"/>
  <c r="C60" i="22"/>
  <c r="D60" i="22" s="1"/>
  <c r="L34" i="22"/>
  <c r="G35" i="22" s="1"/>
  <c r="I34" i="22"/>
  <c r="E59" i="22"/>
  <c r="N59" i="22"/>
  <c r="O60" i="22" s="1"/>
  <c r="P60" i="22" s="1"/>
  <c r="Q60" i="22" s="1"/>
  <c r="R60" i="22" s="1"/>
  <c r="U66" i="41" l="1"/>
  <c r="H66" i="41"/>
  <c r="M66" i="41" s="1"/>
  <c r="D66" i="41"/>
  <c r="M34" i="22"/>
  <c r="E60" i="22"/>
  <c r="N60" i="22"/>
  <c r="O61" i="22" s="1"/>
  <c r="P61" i="22" s="1"/>
  <c r="Q61" i="22" s="1"/>
  <c r="R61" i="22" s="1"/>
  <c r="C61" i="22"/>
  <c r="J4" i="36"/>
  <c r="J6" i="36" s="1"/>
  <c r="E66" i="41" l="1"/>
  <c r="K66" i="41"/>
  <c r="T66" i="41" s="1"/>
  <c r="N67" i="41"/>
  <c r="O67" i="41" s="1"/>
  <c r="P67" i="41" s="1"/>
  <c r="I66" i="41"/>
  <c r="H35" i="22"/>
  <c r="K35" i="22"/>
  <c r="D61" i="22"/>
  <c r="C62" i="22"/>
  <c r="L66" i="41" l="1"/>
  <c r="Q66" i="41"/>
  <c r="C67" i="41"/>
  <c r="G67" i="41"/>
  <c r="I35" i="22"/>
  <c r="L35" i="22"/>
  <c r="G36" i="22" s="1"/>
  <c r="D62" i="22"/>
  <c r="N61" i="22"/>
  <c r="O62" i="22" s="1"/>
  <c r="P62" i="22" s="1"/>
  <c r="Q62" i="22" s="1"/>
  <c r="R62" i="22" s="1"/>
  <c r="E61" i="22"/>
  <c r="U67" i="41" l="1"/>
  <c r="D67" i="41"/>
  <c r="H67" i="41"/>
  <c r="M67" i="41" s="1"/>
  <c r="M35" i="22"/>
  <c r="C63" i="22"/>
  <c r="E62" i="22"/>
  <c r="N62" i="22"/>
  <c r="O63" i="22" s="1"/>
  <c r="P63" i="22" s="1"/>
  <c r="Q63" i="22" s="1"/>
  <c r="R63" i="22" s="1"/>
  <c r="N68" i="41" l="1"/>
  <c r="O68" i="41" s="1"/>
  <c r="P68" i="41" s="1"/>
  <c r="I67" i="41"/>
  <c r="K67" i="41"/>
  <c r="T67" i="41" s="1"/>
  <c r="E67" i="41"/>
  <c r="H36" i="22"/>
  <c r="K36" i="22"/>
  <c r="D63" i="22"/>
  <c r="C64" i="22"/>
  <c r="Q67" i="41" l="1"/>
  <c r="L67" i="41"/>
  <c r="G68" i="41"/>
  <c r="C68" i="41"/>
  <c r="U68" i="41" s="1"/>
  <c r="L36" i="22"/>
  <c r="G37" i="22" s="1"/>
  <c r="I36" i="22"/>
  <c r="E63" i="22"/>
  <c r="N63" i="22"/>
  <c r="O64" i="22" s="1"/>
  <c r="P64" i="22" s="1"/>
  <c r="Q64" i="22" s="1"/>
  <c r="R64" i="22" s="1"/>
  <c r="D64" i="22"/>
  <c r="H68" i="41" l="1"/>
  <c r="M68" i="41" s="1"/>
  <c r="D68" i="41"/>
  <c r="M36" i="22"/>
  <c r="C65" i="22"/>
  <c r="N64" i="22"/>
  <c r="O65" i="22" s="1"/>
  <c r="P65" i="22" s="1"/>
  <c r="Q65" i="22" s="1"/>
  <c r="R65" i="22" s="1"/>
  <c r="E64" i="22"/>
  <c r="E68" i="41" l="1"/>
  <c r="K68" i="41"/>
  <c r="T68" i="41" s="1"/>
  <c r="I68" i="41"/>
  <c r="N69" i="41"/>
  <c r="O69" i="41" s="1"/>
  <c r="P69" i="41" s="1"/>
  <c r="K37" i="22"/>
  <c r="H37" i="22"/>
  <c r="D65" i="22"/>
  <c r="C66" i="22"/>
  <c r="Q68" i="41" l="1"/>
  <c r="L68" i="41"/>
  <c r="G69" i="41"/>
  <c r="C69" i="41"/>
  <c r="U69" i="41" s="1"/>
  <c r="I37" i="22"/>
  <c r="L37" i="22"/>
  <c r="G38" i="22" s="1"/>
  <c r="D66" i="22"/>
  <c r="E65" i="22"/>
  <c r="N65" i="22"/>
  <c r="O66" i="22" s="1"/>
  <c r="P66" i="22" s="1"/>
  <c r="Q66" i="22" s="1"/>
  <c r="R66" i="22" s="1"/>
  <c r="H69" i="41" l="1"/>
  <c r="M69" i="41" s="1"/>
  <c r="D69" i="41"/>
  <c r="M37" i="22"/>
  <c r="C67" i="22"/>
  <c r="E66" i="22"/>
  <c r="N66" i="22"/>
  <c r="O67" i="22" s="1"/>
  <c r="P67" i="22" s="1"/>
  <c r="Q67" i="22" s="1"/>
  <c r="R67" i="22" s="1"/>
  <c r="K69" i="41" l="1"/>
  <c r="T69" i="41" s="1"/>
  <c r="E69" i="41"/>
  <c r="N70" i="41"/>
  <c r="O70" i="41" s="1"/>
  <c r="P70" i="41" s="1"/>
  <c r="I69" i="41"/>
  <c r="H38" i="22"/>
  <c r="K38" i="22"/>
  <c r="D67" i="22"/>
  <c r="C68" i="22"/>
  <c r="L69" i="41" l="1"/>
  <c r="Q69" i="41"/>
  <c r="G70" i="41"/>
  <c r="C70" i="41"/>
  <c r="U70" i="41" s="1"/>
  <c r="L38" i="22"/>
  <c r="G39" i="22" s="1"/>
  <c r="I38" i="22"/>
  <c r="E67" i="22"/>
  <c r="N67" i="22"/>
  <c r="O68" i="22" s="1"/>
  <c r="P68" i="22" s="1"/>
  <c r="Q68" i="22" s="1"/>
  <c r="R68" i="22" s="1"/>
  <c r="D68" i="22"/>
  <c r="D70" i="41" l="1"/>
  <c r="H70" i="41"/>
  <c r="M70" i="41" s="1"/>
  <c r="M38" i="22"/>
  <c r="C69" i="22"/>
  <c r="E68" i="22"/>
  <c r="N68" i="22"/>
  <c r="O69" i="22" s="1"/>
  <c r="P69" i="22" s="1"/>
  <c r="Q69" i="22" s="1"/>
  <c r="R69" i="22" s="1"/>
  <c r="N71" i="41" l="1"/>
  <c r="O71" i="41" s="1"/>
  <c r="P71" i="41" s="1"/>
  <c r="I70" i="41"/>
  <c r="E70" i="41"/>
  <c r="K70" i="41"/>
  <c r="T70" i="41" s="1"/>
  <c r="K39" i="22"/>
  <c r="H39" i="22"/>
  <c r="D69" i="22"/>
  <c r="C70" i="22"/>
  <c r="L70" i="41" l="1"/>
  <c r="Q70" i="41"/>
  <c r="C71" i="41"/>
  <c r="G71" i="41"/>
  <c r="I39" i="22"/>
  <c r="L39" i="22"/>
  <c r="G40" i="22" s="1"/>
  <c r="D70" i="22"/>
  <c r="N69" i="22"/>
  <c r="O70" i="22" s="1"/>
  <c r="P70" i="22" s="1"/>
  <c r="Q70" i="22" s="1"/>
  <c r="R70" i="22" s="1"/>
  <c r="E69" i="22"/>
  <c r="U71" i="41" l="1"/>
  <c r="H71" i="41"/>
  <c r="M71" i="41" s="1"/>
  <c r="D71" i="41"/>
  <c r="M39" i="22"/>
  <c r="E70" i="22"/>
  <c r="N70" i="22"/>
  <c r="O71" i="22" s="1"/>
  <c r="P71" i="22" s="1"/>
  <c r="Q71" i="22" s="1"/>
  <c r="R71" i="22" s="1"/>
  <c r="C71" i="22"/>
  <c r="K71" i="41" l="1"/>
  <c r="T71" i="41" s="1"/>
  <c r="E71" i="41"/>
  <c r="N72" i="41"/>
  <c r="O72" i="41" s="1"/>
  <c r="P72" i="41" s="1"/>
  <c r="I71" i="41"/>
  <c r="H40" i="22"/>
  <c r="K40" i="22"/>
  <c r="D71" i="22"/>
  <c r="C72" i="22"/>
  <c r="L71" i="41" l="1"/>
  <c r="Q71" i="41"/>
  <c r="G72" i="41"/>
  <c r="C72" i="41"/>
  <c r="U72" i="41" s="1"/>
  <c r="L40" i="22"/>
  <c r="G41" i="22" s="1"/>
  <c r="I40" i="22"/>
  <c r="D72" i="22"/>
  <c r="N71" i="22"/>
  <c r="O72" i="22" s="1"/>
  <c r="P72" i="22" s="1"/>
  <c r="Q72" i="22" s="1"/>
  <c r="R72" i="22" s="1"/>
  <c r="E71" i="22"/>
  <c r="D72" i="41" l="1"/>
  <c r="H72" i="41"/>
  <c r="M72" i="41" s="1"/>
  <c r="M40" i="22"/>
  <c r="E72" i="22"/>
  <c r="N72" i="22"/>
  <c r="O73" i="22" s="1"/>
  <c r="P73" i="22" s="1"/>
  <c r="Q73" i="22" s="1"/>
  <c r="R73" i="22" s="1"/>
  <c r="C73" i="22"/>
  <c r="I72" i="41" l="1"/>
  <c r="N73" i="41"/>
  <c r="O73" i="41" s="1"/>
  <c r="P73" i="41" s="1"/>
  <c r="E72" i="41"/>
  <c r="K72" i="41"/>
  <c r="T72" i="41" s="1"/>
  <c r="K41" i="22"/>
  <c r="H41" i="22"/>
  <c r="D73" i="22"/>
  <c r="C74" i="22"/>
  <c r="Q72" i="41" l="1"/>
  <c r="L72" i="41"/>
  <c r="G73" i="41"/>
  <c r="C73" i="41"/>
  <c r="I41" i="22"/>
  <c r="L41" i="22"/>
  <c r="G42" i="22" s="1"/>
  <c r="D74" i="22"/>
  <c r="N73" i="22"/>
  <c r="O74" i="22" s="1"/>
  <c r="P74" i="22" s="1"/>
  <c r="Q74" i="22" s="1"/>
  <c r="R74" i="22" s="1"/>
  <c r="E73" i="22"/>
  <c r="U73" i="41" l="1"/>
  <c r="D73" i="41"/>
  <c r="H73" i="41"/>
  <c r="M73" i="41" s="1"/>
  <c r="M41" i="22"/>
  <c r="N74" i="22"/>
  <c r="O75" i="22" s="1"/>
  <c r="P75" i="22" s="1"/>
  <c r="Q75" i="22" s="1"/>
  <c r="R75" i="22" s="1"/>
  <c r="E74" i="22"/>
  <c r="C75" i="22"/>
  <c r="N74" i="41" l="1"/>
  <c r="O74" i="41" s="1"/>
  <c r="P74" i="41" s="1"/>
  <c r="I73" i="41"/>
  <c r="E73" i="41"/>
  <c r="K73" i="41"/>
  <c r="T73" i="41" s="1"/>
  <c r="H42" i="22"/>
  <c r="K42" i="22"/>
  <c r="D75" i="22"/>
  <c r="C76" i="22"/>
  <c r="L73" i="41" l="1"/>
  <c r="Q73" i="41"/>
  <c r="G74" i="41"/>
  <c r="C74" i="41"/>
  <c r="U74" i="41" s="1"/>
  <c r="L42" i="22"/>
  <c r="G43" i="22" s="1"/>
  <c r="I42" i="22"/>
  <c r="N75" i="22"/>
  <c r="O76" i="22" s="1"/>
  <c r="P76" i="22" s="1"/>
  <c r="Q76" i="22" s="1"/>
  <c r="R76" i="22" s="1"/>
  <c r="E75" i="22"/>
  <c r="D76" i="22"/>
  <c r="D74" i="41" l="1"/>
  <c r="H74" i="41"/>
  <c r="M74" i="41" s="1"/>
  <c r="C77" i="22"/>
  <c r="D77" i="22" s="1"/>
  <c r="M42" i="22"/>
  <c r="N76" i="22"/>
  <c r="O77" i="22" s="1"/>
  <c r="P77" i="22" s="1"/>
  <c r="Q77" i="22" s="1"/>
  <c r="R77" i="22" s="1"/>
  <c r="E76" i="22"/>
  <c r="I74" i="41" l="1"/>
  <c r="N75" i="41"/>
  <c r="O75" i="41" s="1"/>
  <c r="P75" i="41" s="1"/>
  <c r="E74" i="41"/>
  <c r="K74" i="41"/>
  <c r="T74" i="41" s="1"/>
  <c r="H43" i="22"/>
  <c r="K43" i="22"/>
  <c r="C78" i="22"/>
  <c r="N77" i="22"/>
  <c r="O78" i="22" s="1"/>
  <c r="P78" i="22" s="1"/>
  <c r="Q78" i="22" s="1"/>
  <c r="R78" i="22" s="1"/>
  <c r="E77" i="22"/>
  <c r="L74" i="41" l="1"/>
  <c r="Q74" i="41"/>
  <c r="C75" i="41"/>
  <c r="G75" i="41"/>
  <c r="I43" i="22"/>
  <c r="L43" i="22"/>
  <c r="G44" i="22" s="1"/>
  <c r="C79" i="22"/>
  <c r="D78" i="22"/>
  <c r="U75" i="41" l="1"/>
  <c r="D75" i="41"/>
  <c r="H75" i="41"/>
  <c r="M75" i="41" s="1"/>
  <c r="M43" i="22"/>
  <c r="E78" i="22"/>
  <c r="N78" i="22"/>
  <c r="O79" i="22" s="1"/>
  <c r="P79" i="22" s="1"/>
  <c r="Q79" i="22" s="1"/>
  <c r="R79" i="22" s="1"/>
  <c r="D79" i="22"/>
  <c r="N76" i="41" l="1"/>
  <c r="O76" i="41" s="1"/>
  <c r="P76" i="41" s="1"/>
  <c r="I75" i="41"/>
  <c r="E75" i="41"/>
  <c r="K75" i="41"/>
  <c r="T75" i="41" s="1"/>
  <c r="K44" i="22"/>
  <c r="H44" i="22"/>
  <c r="C80" i="22"/>
  <c r="E79" i="22"/>
  <c r="N79" i="22"/>
  <c r="O80" i="22" s="1"/>
  <c r="P80" i="22" s="1"/>
  <c r="Q80" i="22" s="1"/>
  <c r="R80" i="22" s="1"/>
  <c r="L75" i="41" l="1"/>
  <c r="Q75" i="41"/>
  <c r="G76" i="41"/>
  <c r="C76" i="41"/>
  <c r="U76" i="41" s="1"/>
  <c r="I44" i="22"/>
  <c r="L44" i="22"/>
  <c r="G45" i="22" s="1"/>
  <c r="C81" i="22"/>
  <c r="D80" i="22"/>
  <c r="H76" i="41" l="1"/>
  <c r="M76" i="41" s="1"/>
  <c r="D76" i="41"/>
  <c r="M44" i="22"/>
  <c r="E80" i="22"/>
  <c r="N80" i="22"/>
  <c r="O81" i="22" s="1"/>
  <c r="P81" i="22" s="1"/>
  <c r="Q81" i="22" s="1"/>
  <c r="R81" i="22" s="1"/>
  <c r="D81" i="22"/>
  <c r="E76" i="41" l="1"/>
  <c r="K76" i="41"/>
  <c r="T76" i="41" s="1"/>
  <c r="N77" i="41"/>
  <c r="O77" i="41" s="1"/>
  <c r="P77" i="41" s="1"/>
  <c r="I76" i="41"/>
  <c r="H45" i="22"/>
  <c r="K45" i="22"/>
  <c r="C82" i="22"/>
  <c r="N81" i="22"/>
  <c r="O82" i="22" s="1"/>
  <c r="P82" i="22" s="1"/>
  <c r="Q82" i="22" s="1"/>
  <c r="R82" i="22" s="1"/>
  <c r="E81" i="22"/>
  <c r="L76" i="41" l="1"/>
  <c r="Q76" i="41"/>
  <c r="C77" i="41"/>
  <c r="G77" i="41"/>
  <c r="I45" i="22"/>
  <c r="L45" i="22"/>
  <c r="G46" i="22" s="1"/>
  <c r="C83" i="22"/>
  <c r="D82" i="22"/>
  <c r="U77" i="41" l="1"/>
  <c r="H77" i="41"/>
  <c r="M77" i="41" s="1"/>
  <c r="D77" i="41"/>
  <c r="M45" i="22"/>
  <c r="E82" i="22"/>
  <c r="N82" i="22"/>
  <c r="O83" i="22" s="1"/>
  <c r="P83" i="22" s="1"/>
  <c r="Q83" i="22" s="1"/>
  <c r="R83" i="22" s="1"/>
  <c r="D83" i="22"/>
  <c r="E77" i="41" l="1"/>
  <c r="K77" i="41"/>
  <c r="T77" i="41" s="1"/>
  <c r="N78" i="41"/>
  <c r="O78" i="41" s="1"/>
  <c r="P78" i="41" s="1"/>
  <c r="I77" i="41"/>
  <c r="H46" i="22"/>
  <c r="K46" i="22"/>
  <c r="C84" i="22"/>
  <c r="N83" i="22"/>
  <c r="O84" i="22" s="1"/>
  <c r="P84" i="22" s="1"/>
  <c r="Q84" i="22" s="1"/>
  <c r="R84" i="22" s="1"/>
  <c r="E83" i="22"/>
  <c r="L77" i="41" l="1"/>
  <c r="Q77" i="41"/>
  <c r="C78" i="41"/>
  <c r="U78" i="41" s="1"/>
  <c r="G78" i="41"/>
  <c r="I46" i="22"/>
  <c r="L46" i="22"/>
  <c r="G47" i="22" s="1"/>
  <c r="C85" i="22"/>
  <c r="D84" i="22"/>
  <c r="D78" i="41" l="1"/>
  <c r="H78" i="41"/>
  <c r="M78" i="41" s="1"/>
  <c r="M46" i="22"/>
  <c r="E84" i="22"/>
  <c r="N84" i="22"/>
  <c r="O85" i="22" s="1"/>
  <c r="P85" i="22" s="1"/>
  <c r="Q85" i="22" s="1"/>
  <c r="R85" i="22" s="1"/>
  <c r="D85" i="22"/>
  <c r="N79" i="41" l="1"/>
  <c r="O79" i="41" s="1"/>
  <c r="P79" i="41" s="1"/>
  <c r="I78" i="41"/>
  <c r="E78" i="41"/>
  <c r="K78" i="41"/>
  <c r="T78" i="41" s="1"/>
  <c r="C86" i="22"/>
  <c r="D86" i="22" s="1"/>
  <c r="K47" i="22"/>
  <c r="H47" i="22"/>
  <c r="E85" i="22"/>
  <c r="N85" i="22"/>
  <c r="O86" i="22" s="1"/>
  <c r="P86" i="22" s="1"/>
  <c r="Q86" i="22" s="1"/>
  <c r="R86" i="22" s="1"/>
  <c r="Q78" i="41" l="1"/>
  <c r="L78" i="41"/>
  <c r="C79" i="41"/>
  <c r="G79" i="41"/>
  <c r="L47" i="22"/>
  <c r="G48" i="22" s="1"/>
  <c r="I47" i="22"/>
  <c r="E86" i="22"/>
  <c r="N86" i="22"/>
  <c r="O87" i="22" s="1"/>
  <c r="P87" i="22" s="1"/>
  <c r="Q87" i="22" s="1"/>
  <c r="R87" i="22" s="1"/>
  <c r="C87" i="22"/>
  <c r="U79" i="41" l="1"/>
  <c r="H79" i="41"/>
  <c r="M79" i="41" s="1"/>
  <c r="D79" i="41"/>
  <c r="M47" i="22"/>
  <c r="D87" i="22"/>
  <c r="C88" i="22"/>
  <c r="D88" i="22" s="1"/>
  <c r="E79" i="41" l="1"/>
  <c r="K79" i="41"/>
  <c r="T79" i="41" s="1"/>
  <c r="N80" i="41"/>
  <c r="O80" i="41" s="1"/>
  <c r="P80" i="41" s="1"/>
  <c r="I79" i="41"/>
  <c r="K48" i="22"/>
  <c r="H48" i="22"/>
  <c r="E88" i="22"/>
  <c r="N88" i="22"/>
  <c r="N87" i="22"/>
  <c r="O88" i="22" s="1"/>
  <c r="P88" i="22" s="1"/>
  <c r="Q88" i="22" s="1"/>
  <c r="R88" i="22" s="1"/>
  <c r="E87" i="22"/>
  <c r="Q79" i="41" l="1"/>
  <c r="L79" i="41"/>
  <c r="C80" i="41"/>
  <c r="G80" i="41"/>
  <c r="I48" i="22"/>
  <c r="L48" i="22"/>
  <c r="G49" i="22" s="1"/>
  <c r="U80" i="41" l="1"/>
  <c r="H80" i="41"/>
  <c r="M80" i="41" s="1"/>
  <c r="D80" i="41"/>
  <c r="M48" i="22"/>
  <c r="K80" i="41" l="1"/>
  <c r="T80" i="41" s="1"/>
  <c r="E80" i="41"/>
  <c r="N81" i="41"/>
  <c r="O81" i="41" s="1"/>
  <c r="P81" i="41" s="1"/>
  <c r="I80" i="41"/>
  <c r="H49" i="22"/>
  <c r="K49" i="22"/>
  <c r="Q80" i="41" l="1"/>
  <c r="L80" i="41"/>
  <c r="G81" i="41"/>
  <c r="C81" i="41"/>
  <c r="U81" i="41" s="1"/>
  <c r="I49" i="22"/>
  <c r="L49" i="22"/>
  <c r="G50" i="22" s="1"/>
  <c r="D81" i="41" l="1"/>
  <c r="H81" i="41"/>
  <c r="M81" i="41" s="1"/>
  <c r="M49" i="22"/>
  <c r="N82" i="41" l="1"/>
  <c r="O82" i="41" s="1"/>
  <c r="P82" i="41" s="1"/>
  <c r="I81" i="41"/>
  <c r="K81" i="41"/>
  <c r="T81" i="41" s="1"/>
  <c r="E81" i="41"/>
  <c r="H50" i="22"/>
  <c r="K50" i="22"/>
  <c r="L81" i="41" l="1"/>
  <c r="Q81" i="41"/>
  <c r="C82" i="41"/>
  <c r="G82" i="41"/>
  <c r="L50" i="22"/>
  <c r="G51" i="22" s="1"/>
  <c r="I50" i="22"/>
  <c r="U82" i="41" l="1"/>
  <c r="D82" i="41"/>
  <c r="H82" i="41"/>
  <c r="M82" i="41" s="1"/>
  <c r="M50" i="22"/>
  <c r="I82" i="41" l="1"/>
  <c r="N83" i="41"/>
  <c r="O83" i="41" s="1"/>
  <c r="P83" i="41" s="1"/>
  <c r="E82" i="41"/>
  <c r="K82" i="41"/>
  <c r="T82" i="41" s="1"/>
  <c r="H51" i="22"/>
  <c r="K51" i="22"/>
  <c r="L82" i="41" l="1"/>
  <c r="Q82" i="41"/>
  <c r="G83" i="41"/>
  <c r="C83" i="41"/>
  <c r="U83" i="41" s="1"/>
  <c r="I51" i="22"/>
  <c r="L51" i="22"/>
  <c r="G52" i="22" s="1"/>
  <c r="K6" i="36"/>
  <c r="D83" i="41" l="1"/>
  <c r="H83" i="41"/>
  <c r="M83" i="41" s="1"/>
  <c r="M51" i="22"/>
  <c r="I83" i="41" l="1"/>
  <c r="N84" i="41"/>
  <c r="O84" i="41" s="1"/>
  <c r="P84" i="41" s="1"/>
  <c r="E83" i="41"/>
  <c r="K83" i="41"/>
  <c r="T83" i="41" s="1"/>
  <c r="H52" i="22"/>
  <c r="K52" i="22"/>
  <c r="L83" i="41" l="1"/>
  <c r="Q83" i="41"/>
  <c r="C84" i="41"/>
  <c r="G84" i="41"/>
  <c r="I52" i="22"/>
  <c r="L52" i="22"/>
  <c r="G53" i="22" s="1"/>
  <c r="U84" i="41" l="1"/>
  <c r="H84" i="41"/>
  <c r="M84" i="41" s="1"/>
  <c r="D84" i="41"/>
  <c r="M52" i="22"/>
  <c r="K84" i="41" l="1"/>
  <c r="T84" i="41" s="1"/>
  <c r="E84" i="41"/>
  <c r="I84" i="41"/>
  <c r="N85" i="41"/>
  <c r="O85" i="41" s="1"/>
  <c r="P85" i="41" s="1"/>
  <c r="K53" i="22"/>
  <c r="H53" i="22"/>
  <c r="L84" i="41" l="1"/>
  <c r="Q84" i="41"/>
  <c r="G85" i="41"/>
  <c r="C85" i="41"/>
  <c r="I53" i="22"/>
  <c r="L53" i="22"/>
  <c r="G54" i="22" s="1"/>
  <c r="U85" i="41" l="1"/>
  <c r="D85" i="41"/>
  <c r="H85" i="41"/>
  <c r="M85" i="41" s="1"/>
  <c r="M53" i="22"/>
  <c r="I85" i="41" l="1"/>
  <c r="N86" i="41"/>
  <c r="O86" i="41" s="1"/>
  <c r="P86" i="41" s="1"/>
  <c r="E85" i="41"/>
  <c r="K85" i="41"/>
  <c r="T85" i="41" s="1"/>
  <c r="K54" i="22"/>
  <c r="H54" i="22"/>
  <c r="Q85" i="41" l="1"/>
  <c r="L85" i="41"/>
  <c r="G86" i="41"/>
  <c r="C86" i="41"/>
  <c r="U86" i="41" s="1"/>
  <c r="I54" i="22"/>
  <c r="L54" i="22"/>
  <c r="G55" i="22" s="1"/>
  <c r="D86" i="41" l="1"/>
  <c r="H86" i="41"/>
  <c r="M86" i="41" s="1"/>
  <c r="M54" i="22"/>
  <c r="N87" i="41" l="1"/>
  <c r="O87" i="41" s="1"/>
  <c r="P87" i="41" s="1"/>
  <c r="I86" i="41"/>
  <c r="E86" i="41"/>
  <c r="K86" i="41"/>
  <c r="T86" i="41" s="1"/>
  <c r="K55" i="22"/>
  <c r="H55" i="22"/>
  <c r="Q86" i="41" l="1"/>
  <c r="L86" i="41"/>
  <c r="C87" i="41"/>
  <c r="G87" i="41"/>
  <c r="I55" i="22"/>
  <c r="L55" i="22"/>
  <c r="G56" i="22" s="1"/>
  <c r="U87" i="41" l="1"/>
  <c r="H87" i="41"/>
  <c r="M87" i="41" s="1"/>
  <c r="D87" i="41"/>
  <c r="M55" i="22"/>
  <c r="E87" i="41" l="1"/>
  <c r="K87" i="41"/>
  <c r="T87" i="41" s="1"/>
  <c r="I87" i="41"/>
  <c r="N88" i="41"/>
  <c r="O88" i="41" s="1"/>
  <c r="P88" i="41" s="1"/>
  <c r="H56" i="22"/>
  <c r="K56" i="22"/>
  <c r="L87" i="41" l="1"/>
  <c r="Q87" i="41"/>
  <c r="G88" i="41"/>
  <c r="C88" i="41"/>
  <c r="U88" i="41" s="1"/>
  <c r="L56" i="22"/>
  <c r="G57" i="22" s="1"/>
  <c r="I56" i="22"/>
  <c r="D88" i="41" l="1"/>
  <c r="H88" i="41"/>
  <c r="M88" i="41" s="1"/>
  <c r="M56" i="22"/>
  <c r="I88" i="41" l="1"/>
  <c r="N89" i="41"/>
  <c r="O89" i="41" s="1"/>
  <c r="P89" i="41" s="1"/>
  <c r="K88" i="41"/>
  <c r="T88" i="41" s="1"/>
  <c r="E88" i="41"/>
  <c r="K57" i="22"/>
  <c r="H57" i="22"/>
  <c r="L88" i="41" l="1"/>
  <c r="Q88" i="41"/>
  <c r="C89" i="41"/>
  <c r="G89" i="41"/>
  <c r="I57" i="22"/>
  <c r="L57" i="22"/>
  <c r="G58" i="22" s="1"/>
  <c r="U89" i="41" l="1"/>
  <c r="H89" i="41"/>
  <c r="M89" i="41" s="1"/>
  <c r="D89" i="41"/>
  <c r="M57" i="22"/>
  <c r="E89" i="41" l="1"/>
  <c r="K89" i="41"/>
  <c r="T89" i="41" s="1"/>
  <c r="N90" i="41"/>
  <c r="O90" i="41" s="1"/>
  <c r="P90" i="41" s="1"/>
  <c r="I89" i="41"/>
  <c r="H58" i="22"/>
  <c r="K58" i="22"/>
  <c r="L89" i="41" l="1"/>
  <c r="Q89" i="41"/>
  <c r="G90" i="41"/>
  <c r="C90" i="41"/>
  <c r="I58" i="22"/>
  <c r="L58" i="22"/>
  <c r="G59" i="22" s="1"/>
  <c r="U90" i="41" l="1"/>
  <c r="D90" i="41"/>
  <c r="H90" i="41"/>
  <c r="M90" i="41" s="1"/>
  <c r="M58" i="22"/>
  <c r="I90" i="41" l="1"/>
  <c r="N91" i="41"/>
  <c r="O91" i="41" s="1"/>
  <c r="P91" i="41" s="1"/>
  <c r="E90" i="41"/>
  <c r="K90" i="41"/>
  <c r="T90" i="41" s="1"/>
  <c r="H59" i="22"/>
  <c r="K59" i="22"/>
  <c r="L90" i="41" l="1"/>
  <c r="Q90" i="41"/>
  <c r="C91" i="41"/>
  <c r="G91" i="41"/>
  <c r="I59" i="22"/>
  <c r="L59" i="22"/>
  <c r="G60" i="22" s="1"/>
  <c r="U91" i="41" l="1"/>
  <c r="H91" i="41"/>
  <c r="M91" i="41" s="1"/>
  <c r="D91" i="41"/>
  <c r="M59" i="22"/>
  <c r="K91" i="41" l="1"/>
  <c r="T91" i="41" s="1"/>
  <c r="E91" i="41"/>
  <c r="I91" i="41"/>
  <c r="N92" i="41"/>
  <c r="O92" i="41" s="1"/>
  <c r="P92" i="41" s="1"/>
  <c r="H60" i="22"/>
  <c r="K60" i="22"/>
  <c r="L91" i="41" l="1"/>
  <c r="Q91" i="41"/>
  <c r="G92" i="41"/>
  <c r="C92" i="41"/>
  <c r="I60" i="22"/>
  <c r="L60" i="22"/>
  <c r="G61" i="22" s="1"/>
  <c r="U92" i="41" l="1"/>
  <c r="D92" i="41"/>
  <c r="H92" i="41"/>
  <c r="M92" i="41" s="1"/>
  <c r="M60" i="22"/>
  <c r="I92" i="41" l="1"/>
  <c r="N93" i="41"/>
  <c r="O93" i="41" s="1"/>
  <c r="P93" i="41" s="1"/>
  <c r="K92" i="41"/>
  <c r="T92" i="41" s="1"/>
  <c r="E92" i="41"/>
  <c r="H61" i="22"/>
  <c r="K61" i="22"/>
  <c r="Q92" i="41" l="1"/>
  <c r="L92" i="41"/>
  <c r="C93" i="41"/>
  <c r="G93" i="41"/>
  <c r="L61" i="22"/>
  <c r="G62" i="22" s="1"/>
  <c r="I61" i="22"/>
  <c r="U93" i="41" l="1"/>
  <c r="H93" i="41"/>
  <c r="M93" i="41" s="1"/>
  <c r="D93" i="41"/>
  <c r="M61" i="22"/>
  <c r="E93" i="41" l="1"/>
  <c r="K93" i="41"/>
  <c r="T93" i="41" s="1"/>
  <c r="I93" i="41"/>
  <c r="N94" i="41"/>
  <c r="O94" i="41" s="1"/>
  <c r="P94" i="41" s="1"/>
  <c r="H62" i="22"/>
  <c r="K62" i="22"/>
  <c r="Q93" i="41" l="1"/>
  <c r="L93" i="41"/>
  <c r="G94" i="41"/>
  <c r="C94" i="41"/>
  <c r="I62" i="22"/>
  <c r="L62" i="22"/>
  <c r="G63" i="22" s="1"/>
  <c r="U94" i="41" l="1"/>
  <c r="D94" i="41"/>
  <c r="H94" i="41"/>
  <c r="M94" i="41" s="1"/>
  <c r="M62" i="22"/>
  <c r="I94" i="41" l="1"/>
  <c r="N95" i="41"/>
  <c r="O95" i="41" s="1"/>
  <c r="P95" i="41" s="1"/>
  <c r="K94" i="41"/>
  <c r="T94" i="41" s="1"/>
  <c r="E94" i="41"/>
  <c r="H63" i="22"/>
  <c r="K63" i="22"/>
  <c r="L94" i="41" l="1"/>
  <c r="Q94" i="41"/>
  <c r="C95" i="41"/>
  <c r="G95" i="41"/>
  <c r="I63" i="22"/>
  <c r="L63" i="22"/>
  <c r="G64" i="22" s="1"/>
  <c r="U95" i="41" l="1"/>
  <c r="H95" i="41"/>
  <c r="M95" i="41" s="1"/>
  <c r="D95" i="41"/>
  <c r="M63" i="22"/>
  <c r="E95" i="41" l="1"/>
  <c r="K95" i="41"/>
  <c r="T95" i="41" s="1"/>
  <c r="I95" i="41"/>
  <c r="N96" i="41"/>
  <c r="O96" i="41" s="1"/>
  <c r="P96" i="41" s="1"/>
  <c r="H64" i="22"/>
  <c r="K64" i="22"/>
  <c r="L95" i="41" l="1"/>
  <c r="Q95" i="41"/>
  <c r="G96" i="41"/>
  <c r="C96" i="41"/>
  <c r="U96" i="41" s="1"/>
  <c r="L64" i="22"/>
  <c r="G65" i="22" s="1"/>
  <c r="I64" i="22"/>
  <c r="D96" i="41" l="1"/>
  <c r="H96" i="41"/>
  <c r="M96" i="41" s="1"/>
  <c r="M64" i="22"/>
  <c r="I96" i="41" l="1"/>
  <c r="N97" i="41"/>
  <c r="O97" i="41" s="1"/>
  <c r="P97" i="41" s="1"/>
  <c r="K96" i="41"/>
  <c r="T96" i="41" s="1"/>
  <c r="E96" i="41"/>
  <c r="H65" i="22"/>
  <c r="K65" i="22"/>
  <c r="Q96" i="41" l="1"/>
  <c r="L96" i="41"/>
  <c r="C97" i="41"/>
  <c r="G97" i="41"/>
  <c r="L65" i="22"/>
  <c r="G66" i="22" s="1"/>
  <c r="I65" i="22"/>
  <c r="U97" i="41" l="1"/>
  <c r="H97" i="41"/>
  <c r="M97" i="41" s="1"/>
  <c r="D97" i="41"/>
  <c r="M65" i="22"/>
  <c r="E97" i="41" l="1"/>
  <c r="K97" i="41"/>
  <c r="T97" i="41" s="1"/>
  <c r="I97" i="41"/>
  <c r="N98" i="41"/>
  <c r="O98" i="41" s="1"/>
  <c r="P98" i="41" s="1"/>
  <c r="H66" i="22"/>
  <c r="K66" i="22"/>
  <c r="L97" i="41" l="1"/>
  <c r="Q97" i="41"/>
  <c r="C98" i="41"/>
  <c r="U98" i="41" s="1"/>
  <c r="G98" i="41"/>
  <c r="I66" i="22"/>
  <c r="L66" i="22"/>
  <c r="G67" i="22" s="1"/>
  <c r="D98" i="41" l="1"/>
  <c r="H98" i="41"/>
  <c r="M98" i="41" s="1"/>
  <c r="M66" i="22"/>
  <c r="I98" i="41" l="1"/>
  <c r="N99" i="41"/>
  <c r="O99" i="41" s="1"/>
  <c r="P99" i="41" s="1"/>
  <c r="E98" i="41"/>
  <c r="K98" i="41"/>
  <c r="T98" i="41" s="1"/>
  <c r="K67" i="22"/>
  <c r="H67" i="22"/>
  <c r="Q98" i="41" l="1"/>
  <c r="L98" i="41"/>
  <c r="G99" i="41"/>
  <c r="C99" i="41"/>
  <c r="U99" i="41" s="1"/>
  <c r="I67" i="22"/>
  <c r="L67" i="22"/>
  <c r="G68" i="22" s="1"/>
  <c r="D99" i="41" l="1"/>
  <c r="H99" i="41"/>
  <c r="M99" i="41" s="1"/>
  <c r="M67" i="22"/>
  <c r="N100" i="41" l="1"/>
  <c r="O100" i="41" s="1"/>
  <c r="P100" i="41" s="1"/>
  <c r="I99" i="41"/>
  <c r="E99" i="41"/>
  <c r="K99" i="41"/>
  <c r="T99" i="41" s="1"/>
  <c r="H68" i="22"/>
  <c r="K68" i="22"/>
  <c r="L99" i="41" l="1"/>
  <c r="Q99" i="41"/>
  <c r="G100" i="41"/>
  <c r="C100" i="41"/>
  <c r="I68" i="22"/>
  <c r="L68" i="22"/>
  <c r="G69" i="22" s="1"/>
  <c r="U100" i="41" l="1"/>
  <c r="D100" i="41"/>
  <c r="H100" i="41"/>
  <c r="M100" i="41" s="1"/>
  <c r="M68" i="22"/>
  <c r="I100" i="41" l="1"/>
  <c r="N101" i="41"/>
  <c r="O101" i="41" s="1"/>
  <c r="P101" i="41" s="1"/>
  <c r="E100" i="41"/>
  <c r="K100" i="41"/>
  <c r="T100" i="41" s="1"/>
  <c r="H69" i="22"/>
  <c r="K69" i="22"/>
  <c r="L100" i="41" l="1"/>
  <c r="Q100" i="41"/>
  <c r="G101" i="41"/>
  <c r="C101" i="41"/>
  <c r="I69" i="22"/>
  <c r="L69" i="22"/>
  <c r="G70" i="22" s="1"/>
  <c r="U101" i="41" l="1"/>
  <c r="H101" i="41"/>
  <c r="M101" i="41" s="1"/>
  <c r="D101" i="41"/>
  <c r="M69" i="22"/>
  <c r="K101" i="41" l="1"/>
  <c r="T101" i="41" s="1"/>
  <c r="E101" i="41"/>
  <c r="I101" i="41"/>
  <c r="N102" i="41"/>
  <c r="O102" i="41" s="1"/>
  <c r="P102" i="41" s="1"/>
  <c r="K70" i="22"/>
  <c r="H70" i="22"/>
  <c r="Q101" i="41" l="1"/>
  <c r="L101" i="41"/>
  <c r="G102" i="41"/>
  <c r="C102" i="41"/>
  <c r="U102" i="41" s="1"/>
  <c r="I70" i="22"/>
  <c r="L70" i="22"/>
  <c r="G71" i="22" s="1"/>
  <c r="H102" i="41" l="1"/>
  <c r="M102" i="41" s="1"/>
  <c r="D102" i="41"/>
  <c r="M70" i="22"/>
  <c r="E102" i="41" l="1"/>
  <c r="K102" i="41"/>
  <c r="T102" i="41" s="1"/>
  <c r="N103" i="41"/>
  <c r="O103" i="41" s="1"/>
  <c r="P103" i="41" s="1"/>
  <c r="I102" i="41"/>
  <c r="H71" i="22"/>
  <c r="K71" i="22"/>
  <c r="L102" i="41" l="1"/>
  <c r="Q102" i="41"/>
  <c r="G103" i="41"/>
  <c r="C103" i="41"/>
  <c r="I71" i="22"/>
  <c r="L71" i="22"/>
  <c r="G72" i="22" s="1"/>
  <c r="U103" i="41" l="1"/>
  <c r="D103" i="41"/>
  <c r="H103" i="41"/>
  <c r="M103" i="41" s="1"/>
  <c r="M71" i="22"/>
  <c r="N104" i="41" l="1"/>
  <c r="O104" i="41" s="1"/>
  <c r="P104" i="41" s="1"/>
  <c r="I103" i="41"/>
  <c r="E103" i="41"/>
  <c r="K103" i="41"/>
  <c r="T103" i="41" s="1"/>
  <c r="H72" i="22"/>
  <c r="K72" i="22"/>
  <c r="Q103" i="41" l="1"/>
  <c r="L103" i="41"/>
  <c r="C104" i="41"/>
  <c r="G104" i="41"/>
  <c r="I72" i="22"/>
  <c r="L72" i="22"/>
  <c r="G73" i="22" s="1"/>
  <c r="U104" i="41" l="1"/>
  <c r="H104" i="41"/>
  <c r="M104" i="41" s="1"/>
  <c r="D104" i="41"/>
  <c r="M72" i="22"/>
  <c r="E104" i="41" l="1"/>
  <c r="K104" i="41"/>
  <c r="T104" i="41" s="1"/>
  <c r="N105" i="41"/>
  <c r="O105" i="41" s="1"/>
  <c r="P105" i="41" s="1"/>
  <c r="I104" i="41"/>
  <c r="H73" i="22"/>
  <c r="K73" i="22"/>
  <c r="L104" i="41" l="1"/>
  <c r="Q104" i="41"/>
  <c r="C105" i="41"/>
  <c r="G105" i="41"/>
  <c r="L73" i="22"/>
  <c r="G74" i="22" s="1"/>
  <c r="I73" i="22"/>
  <c r="U105" i="41" l="1"/>
  <c r="D105" i="41"/>
  <c r="H105" i="41"/>
  <c r="M105" i="41" s="1"/>
  <c r="M73" i="22"/>
  <c r="N106" i="41" l="1"/>
  <c r="O106" i="41" s="1"/>
  <c r="P106" i="41" s="1"/>
  <c r="I105" i="41"/>
  <c r="E105" i="41"/>
  <c r="K105" i="41"/>
  <c r="T105" i="41" s="1"/>
  <c r="H74" i="22"/>
  <c r="K74" i="22"/>
  <c r="Q105" i="41" l="1"/>
  <c r="L105" i="41"/>
  <c r="C106" i="41"/>
  <c r="G106" i="41"/>
  <c r="I74" i="22"/>
  <c r="L74" i="22"/>
  <c r="G75" i="22" s="1"/>
  <c r="U106" i="41" l="1"/>
  <c r="H106" i="41"/>
  <c r="M106" i="41" s="1"/>
  <c r="D106" i="41"/>
  <c r="M74" i="22"/>
  <c r="E106" i="41" l="1"/>
  <c r="K106" i="41"/>
  <c r="T106" i="41" s="1"/>
  <c r="N107" i="41"/>
  <c r="O107" i="41" s="1"/>
  <c r="P107" i="41" s="1"/>
  <c r="I106" i="41"/>
  <c r="K75" i="22"/>
  <c r="H75" i="22"/>
  <c r="L106" i="41" l="1"/>
  <c r="Q106" i="41"/>
  <c r="G107" i="41"/>
  <c r="C107" i="41"/>
  <c r="I75" i="22"/>
  <c r="L75" i="22"/>
  <c r="G76" i="22" s="1"/>
  <c r="U107" i="41" l="1"/>
  <c r="D107" i="41"/>
  <c r="H107" i="41"/>
  <c r="M107" i="41" s="1"/>
  <c r="M75" i="22"/>
  <c r="N108" i="41" l="1"/>
  <c r="O108" i="41" s="1"/>
  <c r="P108" i="41" s="1"/>
  <c r="I107" i="41"/>
  <c r="E107" i="41"/>
  <c r="K107" i="41"/>
  <c r="T107" i="41" s="1"/>
  <c r="H76" i="22"/>
  <c r="K76" i="22"/>
  <c r="Q107" i="41" l="1"/>
  <c r="L107" i="41"/>
  <c r="C108" i="41"/>
  <c r="G108" i="41"/>
  <c r="I76" i="22"/>
  <c r="L76" i="22"/>
  <c r="G77" i="22" s="1"/>
  <c r="U108" i="41" l="1"/>
  <c r="H108" i="41"/>
  <c r="M108" i="41" s="1"/>
  <c r="D108" i="41"/>
  <c r="M76" i="22"/>
  <c r="E108" i="41" l="1"/>
  <c r="K108" i="41"/>
  <c r="T108" i="41" s="1"/>
  <c r="N109" i="41"/>
  <c r="O109" i="41" s="1"/>
  <c r="P109" i="41" s="1"/>
  <c r="I108" i="41"/>
  <c r="H77" i="22"/>
  <c r="K77" i="22"/>
  <c r="L108" i="41" l="1"/>
  <c r="Q108" i="41"/>
  <c r="C109" i="41"/>
  <c r="U109" i="41" s="1"/>
  <c r="G109" i="41"/>
  <c r="L77" i="22"/>
  <c r="G78" i="22" s="1"/>
  <c r="I77" i="22"/>
  <c r="H109" i="41" l="1"/>
  <c r="M109" i="41" s="1"/>
  <c r="D109" i="41"/>
  <c r="M77" i="22"/>
  <c r="E109" i="41" l="1"/>
  <c r="K109" i="41"/>
  <c r="T109" i="41" s="1"/>
  <c r="N110" i="41"/>
  <c r="O110" i="41" s="1"/>
  <c r="P110" i="41" s="1"/>
  <c r="I109" i="41"/>
  <c r="H78" i="22"/>
  <c r="K78" i="22"/>
  <c r="L109" i="41" l="1"/>
  <c r="Q109" i="41"/>
  <c r="C110" i="41"/>
  <c r="G110" i="41"/>
  <c r="L78" i="22"/>
  <c r="G79" i="22" s="1"/>
  <c r="I78" i="22"/>
  <c r="U110" i="41" l="1"/>
  <c r="D110" i="41"/>
  <c r="H110" i="41"/>
  <c r="M110" i="41" s="1"/>
  <c r="M78" i="22"/>
  <c r="N111" i="41" l="1"/>
  <c r="O111" i="41" s="1"/>
  <c r="P111" i="41" s="1"/>
  <c r="I110" i="41"/>
  <c r="E110" i="41"/>
  <c r="K110" i="41"/>
  <c r="T110" i="41" s="1"/>
  <c r="H79" i="22"/>
  <c r="K79" i="22"/>
  <c r="L110" i="41" l="1"/>
  <c r="Q110" i="41"/>
  <c r="C111" i="41"/>
  <c r="G111" i="41"/>
  <c r="L79" i="22"/>
  <c r="G80" i="22" s="1"/>
  <c r="I79" i="22"/>
  <c r="U111" i="41" l="1"/>
  <c r="D111" i="41"/>
  <c r="H111" i="41"/>
  <c r="M111" i="41" s="1"/>
  <c r="M79" i="22"/>
  <c r="N112" i="41" l="1"/>
  <c r="O112" i="41" s="1"/>
  <c r="P112" i="41" s="1"/>
  <c r="I111" i="41"/>
  <c r="E111" i="41"/>
  <c r="K111" i="41"/>
  <c r="T111" i="41" s="1"/>
  <c r="K80" i="22"/>
  <c r="H80" i="22"/>
  <c r="Q111" i="41" l="1"/>
  <c r="L111" i="41"/>
  <c r="C112" i="41"/>
  <c r="G112" i="41"/>
  <c r="I80" i="22"/>
  <c r="L80" i="22"/>
  <c r="G81" i="22" s="1"/>
  <c r="U112" i="41" l="1"/>
  <c r="D112" i="41"/>
  <c r="H112" i="41"/>
  <c r="M112" i="41" s="1"/>
  <c r="M80" i="22"/>
  <c r="N113" i="41" l="1"/>
  <c r="O113" i="41" s="1"/>
  <c r="P113" i="41" s="1"/>
  <c r="I112" i="41"/>
  <c r="E112" i="41"/>
  <c r="K112" i="41"/>
  <c r="T112" i="41" s="1"/>
  <c r="H81" i="22"/>
  <c r="K81" i="22"/>
  <c r="L112" i="41" l="1"/>
  <c r="Q112" i="41"/>
  <c r="C113" i="41"/>
  <c r="G113" i="41"/>
  <c r="L81" i="22"/>
  <c r="G82" i="22" s="1"/>
  <c r="I81" i="22"/>
  <c r="U113" i="41" l="1"/>
  <c r="H113" i="41"/>
  <c r="M113" i="41" s="1"/>
  <c r="D113" i="41"/>
  <c r="M81" i="22"/>
  <c r="K113" i="41" l="1"/>
  <c r="T113" i="41" s="1"/>
  <c r="E113" i="41"/>
  <c r="N114" i="41"/>
  <c r="O114" i="41" s="1"/>
  <c r="P114" i="41" s="1"/>
  <c r="I113" i="41"/>
  <c r="H82" i="22"/>
  <c r="K82" i="22"/>
  <c r="Q113" i="41" l="1"/>
  <c r="L113" i="41"/>
  <c r="G114" i="41"/>
  <c r="C114" i="41"/>
  <c r="U114" i="41" s="1"/>
  <c r="I82" i="22"/>
  <c r="L82" i="22"/>
  <c r="G83" i="22" s="1"/>
  <c r="D114" i="41" l="1"/>
  <c r="H114" i="41"/>
  <c r="M114" i="41" s="1"/>
  <c r="M82" i="22"/>
  <c r="N115" i="41" l="1"/>
  <c r="O115" i="41" s="1"/>
  <c r="P115" i="41" s="1"/>
  <c r="I114" i="41"/>
  <c r="E114" i="41"/>
  <c r="K114" i="41"/>
  <c r="T114" i="41" s="1"/>
  <c r="H83" i="22"/>
  <c r="K83" i="22"/>
  <c r="L114" i="41" l="1"/>
  <c r="Q114" i="41"/>
  <c r="C115" i="41"/>
  <c r="G115" i="41"/>
  <c r="L83" i="22"/>
  <c r="G84" i="22" s="1"/>
  <c r="I83" i="22"/>
  <c r="U115" i="41" l="1"/>
  <c r="D115" i="41"/>
  <c r="H115" i="41"/>
  <c r="M115" i="41" s="1"/>
  <c r="M83" i="22"/>
  <c r="N116" i="41" l="1"/>
  <c r="O116" i="41" s="1"/>
  <c r="P116" i="41" s="1"/>
  <c r="I115" i="41"/>
  <c r="E115" i="41"/>
  <c r="K115" i="41"/>
  <c r="T115" i="41" s="1"/>
  <c r="K84" i="22"/>
  <c r="H84" i="22"/>
  <c r="Q115" i="41" l="1"/>
  <c r="L115" i="41"/>
  <c r="C116" i="41"/>
  <c r="G116" i="41"/>
  <c r="I84" i="22"/>
  <c r="L84" i="22"/>
  <c r="G85" i="22" s="1"/>
  <c r="U116" i="41" l="1"/>
  <c r="H116" i="41"/>
  <c r="M116" i="41" s="1"/>
  <c r="D116" i="41"/>
  <c r="M84" i="22"/>
  <c r="K116" i="41" l="1"/>
  <c r="T116" i="41" s="1"/>
  <c r="E116" i="41"/>
  <c r="N117" i="41"/>
  <c r="O117" i="41" s="1"/>
  <c r="P117" i="41" s="1"/>
  <c r="I116" i="41"/>
  <c r="H85" i="22"/>
  <c r="K85" i="22"/>
  <c r="L116" i="41" l="1"/>
  <c r="Q116" i="41"/>
  <c r="G117" i="41"/>
  <c r="C117" i="41"/>
  <c r="U117" i="41" s="1"/>
  <c r="I85" i="22"/>
  <c r="L85" i="22"/>
  <c r="G86" i="22" s="1"/>
  <c r="H117" i="41" l="1"/>
  <c r="M117" i="41" s="1"/>
  <c r="D117" i="41"/>
  <c r="M85" i="22"/>
  <c r="E117" i="41" l="1"/>
  <c r="K117" i="41"/>
  <c r="T117" i="41" s="1"/>
  <c r="N118" i="41"/>
  <c r="O118" i="41" s="1"/>
  <c r="P118" i="41" s="1"/>
  <c r="I117" i="41"/>
  <c r="H86" i="22"/>
  <c r="K86" i="22"/>
  <c r="Q117" i="41" l="1"/>
  <c r="L117" i="41"/>
  <c r="C118" i="41"/>
  <c r="G118" i="41"/>
  <c r="L86" i="22"/>
  <c r="G87" i="22" s="1"/>
  <c r="I86" i="22"/>
  <c r="U118" i="41" l="1"/>
  <c r="H118" i="41"/>
  <c r="M118" i="41" s="1"/>
  <c r="D118" i="41"/>
  <c r="M86" i="22"/>
  <c r="E118" i="41" l="1"/>
  <c r="K118" i="41"/>
  <c r="T118" i="41" s="1"/>
  <c r="N119" i="41"/>
  <c r="O119" i="41" s="1"/>
  <c r="P119" i="41" s="1"/>
  <c r="I118" i="41"/>
  <c r="H87" i="22"/>
  <c r="K87" i="22"/>
  <c r="Q118" i="41" l="1"/>
  <c r="L118" i="41"/>
  <c r="G119" i="41"/>
  <c r="C119" i="41"/>
  <c r="U119" i="41" s="1"/>
  <c r="L87" i="22"/>
  <c r="G88" i="22" s="1"/>
  <c r="I87" i="22"/>
  <c r="D119" i="41" l="1"/>
  <c r="H119" i="41"/>
  <c r="M119" i="41" s="1"/>
  <c r="M87" i="22"/>
  <c r="I119" i="41" l="1"/>
  <c r="N120" i="41"/>
  <c r="O120" i="41" s="1"/>
  <c r="P120" i="41" s="1"/>
  <c r="E119" i="41"/>
  <c r="K119" i="41"/>
  <c r="T119" i="41" s="1"/>
  <c r="H88" i="22"/>
  <c r="K88" i="22"/>
  <c r="Q119" i="41" l="1"/>
  <c r="L119" i="41"/>
  <c r="G120" i="41"/>
  <c r="C120" i="41"/>
  <c r="U120" i="41" s="1"/>
  <c r="L88" i="22"/>
  <c r="M88" i="22" s="1"/>
  <c r="I88" i="22"/>
  <c r="H120" i="41" l="1"/>
  <c r="M120" i="41" s="1"/>
  <c r="D120" i="41"/>
  <c r="G6" i="43"/>
  <c r="H7" i="43" s="1"/>
  <c r="F6" i="43"/>
  <c r="E120" i="41" l="1"/>
  <c r="K120" i="41"/>
  <c r="T120" i="41" s="1"/>
  <c r="N121" i="41"/>
  <c r="O121" i="41" s="1"/>
  <c r="P121" i="41" s="1"/>
  <c r="I120" i="41"/>
  <c r="I7" i="43"/>
  <c r="H8" i="43"/>
  <c r="I8" i="43" s="1"/>
  <c r="J7" i="43" l="1"/>
  <c r="C8" i="43" s="1"/>
  <c r="L120" i="41"/>
  <c r="Q120" i="41"/>
  <c r="C121" i="41"/>
  <c r="U121" i="41" s="1"/>
  <c r="G121" i="41"/>
  <c r="L7" i="43"/>
  <c r="K8" i="43" s="1"/>
  <c r="B8" i="43"/>
  <c r="H121" i="41" l="1"/>
  <c r="M121" i="41" s="1"/>
  <c r="D121" i="41"/>
  <c r="D8" i="43"/>
  <c r="J8" i="43" s="1"/>
  <c r="E8" i="43"/>
  <c r="E121" i="41" l="1"/>
  <c r="K121" i="41"/>
  <c r="T121" i="41" s="1"/>
  <c r="I121" i="41"/>
  <c r="N122" i="41"/>
  <c r="O122" i="41" s="1"/>
  <c r="P122" i="41" s="1"/>
  <c r="C9" i="43"/>
  <c r="L8" i="43"/>
  <c r="K9" i="43" s="1"/>
  <c r="F8" i="43"/>
  <c r="G8" i="43"/>
  <c r="H9" i="43" s="1"/>
  <c r="I9" i="43" s="1"/>
  <c r="B9" i="43"/>
  <c r="Q121" i="41" l="1"/>
  <c r="L121" i="41"/>
  <c r="G122" i="41"/>
  <c r="C122" i="41"/>
  <c r="U122" i="41" s="1"/>
  <c r="D9" i="43"/>
  <c r="J9" i="43" s="1"/>
  <c r="E9" i="43"/>
  <c r="G9" i="43" s="1"/>
  <c r="H10" i="43" s="1"/>
  <c r="I10" i="43" s="1"/>
  <c r="H122" i="41" l="1"/>
  <c r="M122" i="41" s="1"/>
  <c r="D122" i="41"/>
  <c r="F9" i="43"/>
  <c r="C10" i="43"/>
  <c r="E122" i="41" l="1"/>
  <c r="K122" i="41"/>
  <c r="T122" i="41" s="1"/>
  <c r="N123" i="41"/>
  <c r="O123" i="41" s="1"/>
  <c r="P123" i="41" s="1"/>
  <c r="I122" i="41"/>
  <c r="B10" i="43"/>
  <c r="D10" i="43" s="1"/>
  <c r="J10" i="43" s="1"/>
  <c r="L9" i="43"/>
  <c r="K10" i="43" s="1"/>
  <c r="L122" i="41" l="1"/>
  <c r="Q122" i="41"/>
  <c r="G123" i="41"/>
  <c r="C123" i="41"/>
  <c r="U123" i="41" s="1"/>
  <c r="E10" i="43"/>
  <c r="F10" i="43" s="1"/>
  <c r="C11" i="43" l="1"/>
  <c r="D123" i="41"/>
  <c r="H123" i="41"/>
  <c r="M123" i="41" s="1"/>
  <c r="G10" i="43"/>
  <c r="H11" i="43" s="1"/>
  <c r="I11" i="43" s="1"/>
  <c r="L10" i="43"/>
  <c r="B11" i="43"/>
  <c r="D11" i="43" s="1"/>
  <c r="J11" i="43" l="1"/>
  <c r="N124" i="41"/>
  <c r="O124" i="41" s="1"/>
  <c r="P124" i="41" s="1"/>
  <c r="I123" i="41"/>
  <c r="K123" i="41"/>
  <c r="T123" i="41" s="1"/>
  <c r="E123" i="41"/>
  <c r="E11" i="43"/>
  <c r="G11" i="43" s="1"/>
  <c r="H12" i="43" s="1"/>
  <c r="I12" i="43" s="1"/>
  <c r="F11" i="43"/>
  <c r="Q123" i="41" l="1"/>
  <c r="L123" i="41"/>
  <c r="C124" i="41"/>
  <c r="G124" i="41"/>
  <c r="C12" i="43"/>
  <c r="L11" i="43"/>
  <c r="B12" i="43"/>
  <c r="U124" i="41" l="1"/>
  <c r="D124" i="41"/>
  <c r="H124" i="41"/>
  <c r="M124" i="41" s="1"/>
  <c r="D12" i="43"/>
  <c r="J12" i="43" s="1"/>
  <c r="E12" i="43"/>
  <c r="G12" i="43" s="1"/>
  <c r="H13" i="43" s="1"/>
  <c r="I13" i="43" s="1"/>
  <c r="C13" i="43" l="1"/>
  <c r="N125" i="41"/>
  <c r="O125" i="41" s="1"/>
  <c r="P125" i="41" s="1"/>
  <c r="I124" i="41"/>
  <c r="E124" i="41"/>
  <c r="K124" i="41"/>
  <c r="T124" i="41" s="1"/>
  <c r="F12" i="43"/>
  <c r="L12" i="43"/>
  <c r="K13" i="43" s="1"/>
  <c r="B13" i="43"/>
  <c r="D13" i="43" l="1"/>
  <c r="J13" i="43" s="1"/>
  <c r="Q124" i="41"/>
  <c r="L124" i="41"/>
  <c r="C125" i="41"/>
  <c r="G125" i="41"/>
  <c r="E13" i="43"/>
  <c r="G13" i="43" s="1"/>
  <c r="H14" i="43" s="1"/>
  <c r="I14" i="43" s="1"/>
  <c r="U125" i="41" l="1"/>
  <c r="H125" i="41"/>
  <c r="M125" i="41" s="1"/>
  <c r="D125" i="41"/>
  <c r="C14" i="43"/>
  <c r="F13" i="43"/>
  <c r="L13" i="43"/>
  <c r="K14" i="43" s="1"/>
  <c r="B14" i="43"/>
  <c r="E125" i="41" l="1"/>
  <c r="K125" i="41"/>
  <c r="T125" i="41" s="1"/>
  <c r="N126" i="41"/>
  <c r="O126" i="41" s="1"/>
  <c r="P126" i="41" s="1"/>
  <c r="I125" i="41"/>
  <c r="D14" i="43"/>
  <c r="J14" i="43" s="1"/>
  <c r="E14" i="43"/>
  <c r="Q125" i="41" l="1"/>
  <c r="L125" i="41"/>
  <c r="G126" i="41"/>
  <c r="H126" i="41" s="1"/>
  <c r="M126" i="41" s="1"/>
  <c r="C126" i="41"/>
  <c r="C15" i="43"/>
  <c r="G14" i="43"/>
  <c r="H15" i="43" s="1"/>
  <c r="I15" i="43" s="1"/>
  <c r="F14" i="43"/>
  <c r="D126" i="41" l="1"/>
  <c r="U126" i="41"/>
  <c r="I126" i="41"/>
  <c r="E126" i="41"/>
  <c r="K126" i="41"/>
  <c r="T126" i="41" s="1"/>
  <c r="L14" i="43"/>
  <c r="K15" i="43" s="1"/>
  <c r="B15" i="43"/>
  <c r="Q126" i="41" l="1"/>
  <c r="L126" i="41"/>
  <c r="D15" i="43"/>
  <c r="E15" i="43"/>
  <c r="J15" i="43" l="1"/>
  <c r="L15" i="43" s="1"/>
  <c r="K16" i="43" s="1"/>
  <c r="C16" i="43"/>
  <c r="G15" i="43"/>
  <c r="H16" i="43" s="1"/>
  <c r="I16" i="43" s="1"/>
  <c r="F15" i="43"/>
  <c r="B16" i="43" l="1"/>
  <c r="E16" i="43" s="1"/>
  <c r="F16" i="43" l="1"/>
  <c r="G16" i="43"/>
  <c r="H17" i="43" s="1"/>
  <c r="I17" i="43" s="1"/>
  <c r="D16" i="43"/>
  <c r="J16" i="43" s="1"/>
  <c r="C17" i="43" s="1"/>
  <c r="B17" i="43" l="1"/>
  <c r="D17" i="43" s="1"/>
  <c r="J17" i="43" s="1"/>
  <c r="L16" i="43"/>
  <c r="K17" i="43" s="1"/>
  <c r="E17" i="43" l="1"/>
  <c r="G17" i="43" s="1"/>
  <c r="H18" i="43" s="1"/>
  <c r="I18" i="43" s="1"/>
  <c r="C18" i="43"/>
  <c r="F17" i="43" l="1"/>
  <c r="L17" i="43"/>
  <c r="K18" i="43" s="1"/>
  <c r="B18" i="43"/>
  <c r="D18" i="43" l="1"/>
  <c r="E18" i="43"/>
  <c r="J18" i="43" l="1"/>
  <c r="L18" i="43" s="1"/>
  <c r="K19" i="43" s="1"/>
  <c r="F18" i="43"/>
  <c r="G18" i="43"/>
  <c r="H19" i="43" s="1"/>
  <c r="I19" i="43" s="1"/>
  <c r="B19" i="43" l="1"/>
  <c r="E19" i="43" s="1"/>
  <c r="G19" i="43" s="1"/>
  <c r="H20" i="43" s="1"/>
  <c r="I20" i="43" s="1"/>
  <c r="C19" i="43"/>
  <c r="D19" i="43"/>
  <c r="J19" i="43" s="1"/>
  <c r="C20" i="43" l="1"/>
  <c r="F19" i="43"/>
  <c r="L19" i="43"/>
  <c r="K20" i="43" s="1"/>
  <c r="B20" i="43"/>
  <c r="D20" i="43" l="1"/>
  <c r="J20" i="43" s="1"/>
  <c r="E20" i="43"/>
  <c r="C21" i="43" l="1"/>
  <c r="G20" i="43"/>
  <c r="H21" i="43" s="1"/>
  <c r="I21" i="43" s="1"/>
  <c r="F20" i="43"/>
  <c r="L20" i="43" l="1"/>
  <c r="K21" i="43" s="1"/>
  <c r="B21" i="43"/>
  <c r="D21" i="43" l="1"/>
  <c r="J21" i="43" s="1"/>
  <c r="E21" i="43"/>
  <c r="C22" i="43" l="1"/>
  <c r="G21" i="43"/>
  <c r="H22" i="43" s="1"/>
  <c r="I22" i="43" s="1"/>
  <c r="F21" i="43"/>
  <c r="L21" i="43"/>
  <c r="K22" i="43" s="1"/>
  <c r="B22" i="43" l="1"/>
  <c r="D22" i="43" l="1"/>
  <c r="J22" i="43" s="1"/>
  <c r="L22" i="43" s="1"/>
  <c r="K23" i="43" s="1"/>
  <c r="E22" i="43"/>
  <c r="C23" i="43" l="1"/>
  <c r="B23" i="43"/>
  <c r="G22" i="43"/>
  <c r="H23" i="43" s="1"/>
  <c r="I23" i="43" s="1"/>
  <c r="F22" i="43"/>
  <c r="D23" i="43" l="1"/>
  <c r="J23" i="43" s="1"/>
  <c r="E23" i="43"/>
  <c r="G23" i="43" s="1"/>
  <c r="H24" i="43" s="1"/>
  <c r="I24" i="43" s="1"/>
  <c r="C24" i="43" l="1"/>
  <c r="F23" i="43"/>
  <c r="L23" i="43"/>
  <c r="K24" i="43" s="1"/>
  <c r="B24" i="43"/>
  <c r="D24" i="43" l="1"/>
  <c r="J24" i="43" s="1"/>
  <c r="E24" i="43"/>
  <c r="C25" i="43" l="1"/>
  <c r="G24" i="43"/>
  <c r="H25" i="43" s="1"/>
  <c r="I25" i="43" s="1"/>
  <c r="F24" i="43"/>
  <c r="L24" i="43" l="1"/>
  <c r="K25" i="43" s="1"/>
  <c r="B25" i="43"/>
  <c r="D25" i="43" l="1"/>
  <c r="E25" i="43"/>
  <c r="J25" i="43" l="1"/>
  <c r="L25" i="43" s="1"/>
  <c r="K26" i="43" s="1"/>
  <c r="G25" i="43"/>
  <c r="H26" i="43" s="1"/>
  <c r="I26" i="43" s="1"/>
  <c r="F25" i="43"/>
  <c r="C26" i="43" l="1"/>
  <c r="D26" i="43" s="1"/>
  <c r="B26" i="43"/>
  <c r="E26" i="43" s="1"/>
  <c r="J26" i="43" l="1"/>
  <c r="L26" i="43" s="1"/>
  <c r="K27" i="43" s="1"/>
  <c r="F26" i="43"/>
  <c r="G26" i="43"/>
  <c r="H27" i="43" s="1"/>
  <c r="I27" i="43" s="1"/>
  <c r="B27" i="43" l="1"/>
  <c r="E27" i="43" s="1"/>
  <c r="F27" i="43" s="1"/>
  <c r="C27" i="43"/>
  <c r="D27" i="43" l="1"/>
  <c r="J27" i="43" s="1"/>
  <c r="C28" i="43" s="1"/>
  <c r="G27" i="43"/>
  <c r="H28" i="43" s="1"/>
  <c r="I28" i="43" s="1"/>
  <c r="B28" i="43" l="1"/>
  <c r="E28" i="43" s="1"/>
  <c r="L27" i="43"/>
  <c r="K28" i="43" s="1"/>
  <c r="D28" i="43"/>
  <c r="J28" i="43" s="1"/>
  <c r="C29" i="43" l="1"/>
  <c r="G28" i="43"/>
  <c r="H29" i="43" s="1"/>
  <c r="I29" i="43" s="1"/>
  <c r="F28" i="43"/>
  <c r="L28" i="43" l="1"/>
  <c r="K29" i="43" s="1"/>
  <c r="B29" i="43"/>
  <c r="D29" i="43" l="1"/>
  <c r="E29" i="43"/>
  <c r="J29" i="43" l="1"/>
  <c r="L29" i="43" s="1"/>
  <c r="K30" i="43" s="1"/>
  <c r="F29" i="43"/>
  <c r="G29" i="43"/>
  <c r="H30" i="43" s="1"/>
  <c r="I30" i="43" s="1"/>
  <c r="B30" i="43" l="1"/>
  <c r="C30" i="43"/>
  <c r="D30" i="43"/>
  <c r="J30" i="43" s="1"/>
  <c r="E30" i="43"/>
  <c r="F30" i="43" s="1"/>
  <c r="G30" i="43" l="1"/>
  <c r="H31" i="43" s="1"/>
  <c r="I31" i="43" s="1"/>
  <c r="C31" i="43"/>
  <c r="L30" i="43"/>
  <c r="K31" i="43" s="1"/>
  <c r="B31" i="43"/>
  <c r="D31" i="43" l="1"/>
  <c r="J31" i="43" s="1"/>
  <c r="E31" i="43"/>
  <c r="C32" i="43" l="1"/>
  <c r="F31" i="43"/>
  <c r="G31" i="43"/>
  <c r="H32" i="43" s="1"/>
  <c r="I32" i="43" s="1"/>
  <c r="L31" i="43" l="1"/>
  <c r="K32" i="43" s="1"/>
  <c r="B32" i="43"/>
  <c r="D32" i="43" l="1"/>
  <c r="E32" i="43"/>
  <c r="J32" i="43" l="1"/>
  <c r="L32" i="43" s="1"/>
  <c r="K33" i="43" s="1"/>
  <c r="G32" i="43"/>
  <c r="H33" i="43" s="1"/>
  <c r="I33" i="43" s="1"/>
  <c r="F32" i="43"/>
  <c r="B33" i="43" l="1"/>
  <c r="E33" i="43" s="1"/>
  <c r="C33" i="43"/>
  <c r="D33" i="43"/>
  <c r="J33" i="43" s="1"/>
  <c r="L33" i="43" s="1"/>
  <c r="K34" i="43" s="1"/>
  <c r="C34" i="43" l="1"/>
  <c r="B34" i="43"/>
  <c r="G33" i="43"/>
  <c r="H34" i="43" s="1"/>
  <c r="I34" i="43" s="1"/>
  <c r="F33" i="43"/>
  <c r="D34" i="43" l="1"/>
  <c r="J34" i="43" s="1"/>
  <c r="E34" i="43"/>
  <c r="C35" i="43" l="1"/>
  <c r="F34" i="43"/>
  <c r="G34" i="43"/>
  <c r="H35" i="43" s="1"/>
  <c r="I35" i="43" s="1"/>
  <c r="L34" i="43" l="1"/>
  <c r="K35" i="43" s="1"/>
  <c r="B35" i="43"/>
  <c r="D35" i="43" l="1"/>
  <c r="E35" i="43"/>
  <c r="J35" i="43" l="1"/>
  <c r="L35" i="43" s="1"/>
  <c r="K36" i="43" s="1"/>
  <c r="G35" i="43"/>
  <c r="H36" i="43" s="1"/>
  <c r="I36" i="43" s="1"/>
  <c r="F35" i="43"/>
  <c r="C36" i="43" l="1"/>
  <c r="B36" i="43"/>
  <c r="E36" i="43" s="1"/>
  <c r="G36" i="43" s="1"/>
  <c r="H37" i="43" s="1"/>
  <c r="I37" i="43" s="1"/>
  <c r="F36" i="43" l="1"/>
  <c r="D36" i="43"/>
  <c r="J36" i="43" s="1"/>
  <c r="C37" i="43" s="1"/>
  <c r="B37" i="43" l="1"/>
  <c r="D37" i="43" s="1"/>
  <c r="L36" i="43"/>
  <c r="K37" i="43" s="1"/>
  <c r="E37" i="43" l="1"/>
  <c r="F37" i="43" s="1"/>
  <c r="J37" i="43"/>
  <c r="L37" i="43" s="1"/>
  <c r="K38" i="43" s="1"/>
  <c r="G37" i="43" l="1"/>
  <c r="H38" i="43" s="1"/>
  <c r="I38" i="43" s="1"/>
  <c r="B38" i="43"/>
  <c r="E38" i="43" s="1"/>
  <c r="C38" i="43"/>
  <c r="D38" i="43" l="1"/>
  <c r="J38" i="43"/>
  <c r="L38" i="43" s="1"/>
  <c r="K39" i="43" s="1"/>
  <c r="F38" i="43"/>
  <c r="G38" i="43"/>
  <c r="H39" i="43" s="1"/>
  <c r="I39" i="43" s="1"/>
  <c r="C39" i="43" l="1"/>
  <c r="B39" i="43"/>
  <c r="E39" i="43" s="1"/>
  <c r="D39" i="43"/>
  <c r="J39" i="43" s="1"/>
  <c r="C40" i="43" l="1"/>
  <c r="G39" i="43"/>
  <c r="H40" i="43" s="1"/>
  <c r="I40" i="43" s="1"/>
  <c r="F39" i="43"/>
  <c r="L39" i="43" l="1"/>
  <c r="K40" i="43" s="1"/>
  <c r="B40" i="43"/>
  <c r="D40" i="43" l="1"/>
  <c r="J40" i="43" s="1"/>
  <c r="E40" i="43"/>
  <c r="C41" i="43" l="1"/>
  <c r="F40" i="43"/>
  <c r="G40" i="43"/>
  <c r="H41" i="43" s="1"/>
  <c r="I41" i="43" s="1"/>
  <c r="L40" i="43"/>
  <c r="K41" i="43" s="1"/>
  <c r="B41" i="43" l="1"/>
  <c r="D41" i="43" s="1"/>
  <c r="J41" i="43" s="1"/>
  <c r="E41" i="43" l="1"/>
  <c r="G41" i="43" s="1"/>
  <c r="H42" i="43" s="1"/>
  <c r="I42" i="43" s="1"/>
  <c r="L41" i="43"/>
  <c r="K42" i="43" s="1"/>
  <c r="F41" i="43" l="1"/>
  <c r="B42" i="43"/>
  <c r="E42" i="43" s="1"/>
  <c r="C42" i="43"/>
  <c r="D42" i="43" l="1"/>
  <c r="J42" i="43" s="1"/>
  <c r="C43" i="43"/>
  <c r="G42" i="43"/>
  <c r="H43" i="43" s="1"/>
  <c r="I43" i="43" s="1"/>
  <c r="F42" i="43"/>
  <c r="L42" i="43" l="1"/>
  <c r="K43" i="43" s="1"/>
  <c r="B43" i="43"/>
  <c r="D43" i="43" s="1"/>
  <c r="J43" i="43" s="1"/>
  <c r="L43" i="43" l="1"/>
  <c r="K44" i="43" s="1"/>
  <c r="E43" i="43"/>
  <c r="B44" i="43" l="1"/>
  <c r="C44" i="43"/>
  <c r="D44" i="43" s="1"/>
  <c r="E44" i="43"/>
  <c r="G43" i="43"/>
  <c r="H44" i="43" s="1"/>
  <c r="I44" i="43" s="1"/>
  <c r="F43" i="43"/>
  <c r="J44" i="43" l="1"/>
  <c r="C45" i="43" s="1"/>
  <c r="G44" i="43"/>
  <c r="H45" i="43" s="1"/>
  <c r="I45" i="43" s="1"/>
  <c r="F44" i="43"/>
  <c r="L44" i="43" l="1"/>
  <c r="K45" i="43" s="1"/>
  <c r="B45" i="43"/>
  <c r="D45" i="43" l="1"/>
  <c r="J45" i="43" s="1"/>
  <c r="E45" i="43"/>
  <c r="C46" i="43" l="1"/>
  <c r="F45" i="43"/>
  <c r="G45" i="43"/>
  <c r="H46" i="43" s="1"/>
  <c r="I46" i="43" s="1"/>
  <c r="L45" i="43" l="1"/>
  <c r="K46" i="43" s="1"/>
  <c r="B46" i="43"/>
  <c r="D46" i="43" l="1"/>
  <c r="E46" i="43"/>
  <c r="J46" i="43" l="1"/>
  <c r="L46" i="43" s="1"/>
  <c r="K47" i="43" s="1"/>
  <c r="B47" i="43"/>
  <c r="E47" i="43" s="1"/>
  <c r="G46" i="43"/>
  <c r="H47" i="43" s="1"/>
  <c r="I47" i="43" s="1"/>
  <c r="F46" i="43"/>
  <c r="C47" i="43" l="1"/>
  <c r="D47" i="43"/>
  <c r="J47" i="43" s="1"/>
  <c r="C48" i="43" s="1"/>
  <c r="F47" i="43"/>
  <c r="G47" i="43"/>
  <c r="H48" i="43" s="1"/>
  <c r="I48" i="43" s="1"/>
  <c r="L47" i="43" l="1"/>
  <c r="K48" i="43" s="1"/>
  <c r="B48" i="43"/>
  <c r="D48" i="43" l="1"/>
  <c r="E48" i="43"/>
  <c r="J48" i="43" l="1"/>
  <c r="L48" i="43" s="1"/>
  <c r="K49" i="43" s="1"/>
  <c r="G48" i="43"/>
  <c r="H49" i="43" s="1"/>
  <c r="I49" i="43" s="1"/>
  <c r="F48" i="43"/>
  <c r="B49" i="43" l="1"/>
  <c r="C49" i="43"/>
  <c r="D49" i="43" s="1"/>
  <c r="J49" i="43" s="1"/>
  <c r="L49" i="43" s="1"/>
  <c r="K50" i="43" s="1"/>
  <c r="E49" i="43"/>
  <c r="C50" i="43" l="1"/>
  <c r="B50" i="43"/>
  <c r="F49" i="43"/>
  <c r="G49" i="43"/>
  <c r="H50" i="43" s="1"/>
  <c r="I50" i="43" s="1"/>
  <c r="D50" i="43" l="1"/>
  <c r="J50" i="43" s="1"/>
  <c r="E50" i="43"/>
  <c r="G50" i="43" s="1"/>
  <c r="H51" i="43" s="1"/>
  <c r="I51" i="43" s="1"/>
  <c r="C51" i="43" l="1"/>
  <c r="F50" i="43"/>
  <c r="L50" i="43"/>
  <c r="K51" i="43" s="1"/>
  <c r="B51" i="43"/>
  <c r="D51" i="43" l="1"/>
  <c r="J51" i="43" s="1"/>
  <c r="E51" i="43"/>
  <c r="C52" i="43" l="1"/>
  <c r="G51" i="43"/>
  <c r="H52" i="43" s="1"/>
  <c r="I52" i="43" s="1"/>
  <c r="F51" i="43"/>
  <c r="L51" i="43" l="1"/>
  <c r="K52" i="43" s="1"/>
  <c r="B52" i="43"/>
  <c r="D52" i="43" l="1"/>
  <c r="E52" i="43"/>
  <c r="J52" i="43" l="1"/>
  <c r="L52" i="43" s="1"/>
  <c r="K53" i="43" s="1"/>
  <c r="F52" i="43"/>
  <c r="G52" i="43"/>
  <c r="H53" i="43" s="1"/>
  <c r="I53" i="43" s="1"/>
  <c r="C53" i="43" l="1"/>
  <c r="B53" i="43"/>
  <c r="E53" i="43" s="1"/>
  <c r="D53" i="43" l="1"/>
  <c r="J53" i="43"/>
  <c r="L53" i="43" s="1"/>
  <c r="K54" i="43" s="1"/>
  <c r="G53" i="43"/>
  <c r="H54" i="43" s="1"/>
  <c r="I54" i="43" s="1"/>
  <c r="F53" i="43"/>
  <c r="B54" i="43" l="1"/>
  <c r="E54" i="43" s="1"/>
  <c r="C54" i="43"/>
  <c r="D54" i="43"/>
  <c r="J54" i="43" s="1"/>
  <c r="L54" i="43" s="1"/>
  <c r="K55" i="43" s="1"/>
  <c r="F54" i="43" l="1"/>
  <c r="C55" i="43"/>
  <c r="G54" i="43"/>
  <c r="H55" i="43" s="1"/>
  <c r="I55" i="43" s="1"/>
  <c r="B55" i="43"/>
  <c r="D55" i="43" l="1"/>
  <c r="J55" i="43" s="1"/>
  <c r="L55" i="43" s="1"/>
  <c r="K56" i="43" s="1"/>
  <c r="E55" i="43"/>
  <c r="F55" i="43" s="1"/>
  <c r="G55" i="43" l="1"/>
  <c r="H56" i="43" s="1"/>
  <c r="I56" i="43" s="1"/>
  <c r="B56" i="43"/>
  <c r="E56" i="43" s="1"/>
  <c r="C56" i="43"/>
  <c r="D56" i="43" s="1"/>
  <c r="J56" i="43" s="1"/>
  <c r="L56" i="43" l="1"/>
  <c r="K57" i="43" s="1"/>
  <c r="F56" i="43"/>
  <c r="G56" i="43"/>
  <c r="H57" i="43" s="1"/>
  <c r="I57" i="43" s="1"/>
  <c r="B57" i="43" l="1"/>
  <c r="C57" i="43"/>
  <c r="D57" i="43" s="1"/>
  <c r="J57" i="43" s="1"/>
  <c r="L57" i="43" l="1"/>
  <c r="K58" i="43" s="1"/>
  <c r="E57" i="43"/>
  <c r="G57" i="43" l="1"/>
  <c r="H58" i="43" s="1"/>
  <c r="I58" i="43" s="1"/>
  <c r="F57" i="43"/>
  <c r="B58" i="43"/>
  <c r="E58" i="43" s="1"/>
  <c r="C58" i="43"/>
  <c r="D58" i="43" l="1"/>
  <c r="G58" i="43"/>
  <c r="H59" i="43" s="1"/>
  <c r="I59" i="43" s="1"/>
  <c r="F58" i="43"/>
  <c r="J58" i="43" l="1"/>
  <c r="C59" i="43" s="1"/>
  <c r="B59" i="43" l="1"/>
  <c r="E59" i="43" s="1"/>
  <c r="L58" i="43"/>
  <c r="K59" i="43" s="1"/>
  <c r="D59" i="43"/>
  <c r="J59" i="43" l="1"/>
  <c r="L59" i="43" s="1"/>
  <c r="K60" i="43" s="1"/>
  <c r="F59" i="43"/>
  <c r="G59" i="43"/>
  <c r="H60" i="43" s="1"/>
  <c r="I60" i="43" s="1"/>
  <c r="C60" i="43" l="1"/>
  <c r="D60" i="43" s="1"/>
  <c r="B60" i="43"/>
  <c r="E60" i="43" s="1"/>
  <c r="J60" i="43" l="1"/>
  <c r="L60" i="43" s="1"/>
  <c r="K61" i="43" s="1"/>
  <c r="F60" i="43"/>
  <c r="G60" i="43"/>
  <c r="H61" i="43" s="1"/>
  <c r="I61" i="43" s="1"/>
  <c r="B61" i="43" l="1"/>
  <c r="E61" i="43" s="1"/>
  <c r="G61" i="43" s="1"/>
  <c r="H62" i="43" s="1"/>
  <c r="I62" i="43" s="1"/>
  <c r="C61" i="43"/>
  <c r="D61" i="43"/>
  <c r="J61" i="43" l="1"/>
  <c r="L61" i="43" s="1"/>
  <c r="K62" i="43" s="1"/>
  <c r="F61" i="43"/>
  <c r="C62" i="43" l="1"/>
  <c r="B62" i="43"/>
  <c r="E62" i="43" s="1"/>
  <c r="D62" i="43" l="1"/>
  <c r="J62" i="43"/>
  <c r="L62" i="43" s="1"/>
  <c r="K63" i="43" s="1"/>
  <c r="F62" i="43"/>
  <c r="G62" i="43"/>
  <c r="H63" i="43" s="1"/>
  <c r="I63" i="43" s="1"/>
  <c r="B63" i="43" l="1"/>
  <c r="E63" i="43" s="1"/>
  <c r="G63" i="43" s="1"/>
  <c r="H64" i="43" s="1"/>
  <c r="I64" i="43" s="1"/>
  <c r="C63" i="43"/>
  <c r="D63" i="43" s="1"/>
  <c r="J63" i="43" s="1"/>
  <c r="C64" i="43" l="1"/>
  <c r="F63" i="43"/>
  <c r="L63" i="43"/>
  <c r="K64" i="43" s="1"/>
  <c r="B64" i="43"/>
  <c r="D64" i="43" l="1"/>
  <c r="J64" i="43" s="1"/>
  <c r="E64" i="43"/>
  <c r="C65" i="43" l="1"/>
  <c r="G64" i="43"/>
  <c r="H65" i="43" s="1"/>
  <c r="I65" i="43" s="1"/>
  <c r="F64" i="43"/>
  <c r="L64" i="43" l="1"/>
  <c r="K65" i="43" s="1"/>
  <c r="B65" i="43"/>
  <c r="D65" i="43" l="1"/>
  <c r="J65" i="43" s="1"/>
  <c r="E65" i="43"/>
  <c r="C66" i="43" l="1"/>
  <c r="F65" i="43"/>
  <c r="G65" i="43"/>
  <c r="H66" i="43" s="1"/>
  <c r="I66" i="43" s="1"/>
  <c r="L65" i="43" l="1"/>
  <c r="K66" i="43" s="1"/>
  <c r="B66" i="43"/>
  <c r="D66" i="43" l="1"/>
  <c r="E66" i="43"/>
  <c r="J66" i="43" l="1"/>
  <c r="L66" i="43" s="1"/>
  <c r="K67" i="43" s="1"/>
  <c r="B67" i="43"/>
  <c r="G66" i="43"/>
  <c r="H67" i="43" s="1"/>
  <c r="I67" i="43" s="1"/>
  <c r="F66" i="43"/>
  <c r="C67" i="43" l="1"/>
  <c r="D67" i="43"/>
  <c r="E67" i="43"/>
  <c r="J67" i="43" l="1"/>
  <c r="L67" i="43" s="1"/>
  <c r="K68" i="43" s="1"/>
  <c r="G67" i="43"/>
  <c r="H68" i="43" s="1"/>
  <c r="I68" i="43" s="1"/>
  <c r="F67" i="43"/>
  <c r="B68" i="43" l="1"/>
  <c r="E68" i="43" s="1"/>
  <c r="C68" i="43"/>
  <c r="D68" i="43"/>
  <c r="J68" i="43" s="1"/>
  <c r="L68" i="43" s="1"/>
  <c r="K69" i="43" s="1"/>
  <c r="C69" i="43" l="1"/>
  <c r="F68" i="43"/>
  <c r="G68" i="43"/>
  <c r="H69" i="43" s="1"/>
  <c r="I69" i="43" s="1"/>
  <c r="B69" i="43"/>
  <c r="D69" i="43" l="1"/>
  <c r="J69" i="43" s="1"/>
  <c r="E69" i="43"/>
  <c r="C70" i="43" l="1"/>
  <c r="F69" i="43"/>
  <c r="G69" i="43"/>
  <c r="H70" i="43" s="1"/>
  <c r="I70" i="43" s="1"/>
  <c r="L69" i="43" l="1"/>
  <c r="K70" i="43" s="1"/>
  <c r="B70" i="43"/>
  <c r="D70" i="43" l="1"/>
  <c r="J70" i="43" s="1"/>
  <c r="E70" i="43"/>
  <c r="C71" i="43" l="1"/>
  <c r="G70" i="43"/>
  <c r="H71" i="43" s="1"/>
  <c r="I71" i="43" s="1"/>
  <c r="F70" i="43"/>
  <c r="L70" i="43" l="1"/>
  <c r="K71" i="43" s="1"/>
  <c r="B71" i="43"/>
  <c r="D71" i="43" l="1"/>
  <c r="J71" i="43" s="1"/>
  <c r="E71" i="43"/>
  <c r="C72" i="43" l="1"/>
  <c r="G71" i="43"/>
  <c r="H72" i="43" s="1"/>
  <c r="I72" i="43" s="1"/>
  <c r="F71" i="43"/>
  <c r="L71" i="43" l="1"/>
  <c r="K72" i="43" s="1"/>
  <c r="B72" i="43"/>
  <c r="D72" i="43" l="1"/>
  <c r="J72" i="43" s="1"/>
  <c r="E72" i="43"/>
  <c r="C73" i="43" l="1"/>
  <c r="G72" i="43"/>
  <c r="H73" i="43" s="1"/>
  <c r="I73" i="43" s="1"/>
  <c r="F72" i="43"/>
  <c r="L72" i="43" l="1"/>
  <c r="K73" i="43" s="1"/>
  <c r="B73" i="43"/>
  <c r="D73" i="43" l="1"/>
  <c r="E73" i="43"/>
  <c r="J73" i="43" l="1"/>
  <c r="L73" i="43" s="1"/>
  <c r="K74" i="43" s="1"/>
  <c r="G73" i="43"/>
  <c r="H74" i="43" s="1"/>
  <c r="I74" i="43" s="1"/>
  <c r="F73" i="43"/>
  <c r="C74" i="43" l="1"/>
  <c r="B74" i="43"/>
  <c r="E74" i="43" s="1"/>
  <c r="G74" i="43" s="1"/>
  <c r="H75" i="43" s="1"/>
  <c r="I75" i="43" s="1"/>
  <c r="D74" i="43" l="1"/>
  <c r="J74" i="43" s="1"/>
  <c r="C75" i="43" s="1"/>
  <c r="F74" i="43"/>
  <c r="L74" i="43"/>
  <c r="K75" i="43" s="1"/>
  <c r="B75" i="43" l="1"/>
  <c r="E75" i="43" s="1"/>
  <c r="D75" i="43"/>
  <c r="J75" i="43" s="1"/>
  <c r="C76" i="43" l="1"/>
  <c r="G75" i="43"/>
  <c r="H76" i="43" s="1"/>
  <c r="I76" i="43" s="1"/>
  <c r="F75" i="43"/>
  <c r="L75" i="43" l="1"/>
  <c r="K76" i="43" s="1"/>
  <c r="B76" i="43"/>
  <c r="D76" i="43" l="1"/>
  <c r="E76" i="43"/>
  <c r="J76" i="43" l="1"/>
  <c r="L76" i="43" s="1"/>
  <c r="K77" i="43" s="1"/>
  <c r="G76" i="43"/>
  <c r="H77" i="43" s="1"/>
  <c r="I77" i="43" s="1"/>
  <c r="F76" i="43"/>
  <c r="C77" i="43" l="1"/>
  <c r="D77" i="43" s="1"/>
  <c r="J77" i="43" s="1"/>
  <c r="C78" i="43" s="1"/>
  <c r="B77" i="43"/>
  <c r="E77" i="43" s="1"/>
  <c r="F77" i="43" s="1"/>
  <c r="G77" i="43" l="1"/>
  <c r="H78" i="43" s="1"/>
  <c r="I78" i="43" s="1"/>
  <c r="B78" i="43"/>
  <c r="D78" i="43" s="1"/>
  <c r="J78" i="43" s="1"/>
  <c r="L77" i="43"/>
  <c r="K78" i="43" s="1"/>
  <c r="E78" i="43" l="1"/>
  <c r="F78" i="43" s="1"/>
  <c r="C79" i="43" l="1"/>
  <c r="G78" i="43"/>
  <c r="H79" i="43" s="1"/>
  <c r="I79" i="43" s="1"/>
  <c r="L78" i="43"/>
  <c r="K79" i="43" s="1"/>
  <c r="B79" i="43"/>
  <c r="D79" i="43" l="1"/>
  <c r="J79" i="43" s="1"/>
  <c r="E79" i="43"/>
  <c r="C80" i="43" l="1"/>
  <c r="G79" i="43"/>
  <c r="H80" i="43" s="1"/>
  <c r="I80" i="43" s="1"/>
  <c r="F79" i="43"/>
  <c r="L79" i="43" l="1"/>
  <c r="K80" i="43" s="1"/>
  <c r="B80" i="43"/>
  <c r="D80" i="43" l="1"/>
  <c r="E80" i="43"/>
  <c r="J80" i="43" l="1"/>
  <c r="L80" i="43" s="1"/>
  <c r="K81" i="43" s="1"/>
  <c r="F80" i="43"/>
  <c r="G80" i="43"/>
  <c r="H81" i="43" s="1"/>
  <c r="I81" i="43" s="1"/>
  <c r="B81" i="43" l="1"/>
  <c r="E81" i="43" s="1"/>
  <c r="C81" i="43"/>
  <c r="D81" i="43" s="1"/>
  <c r="J81" i="43" s="1"/>
  <c r="L81" i="43" s="1"/>
  <c r="K82" i="43" s="1"/>
  <c r="C82" i="43" l="1"/>
  <c r="B82" i="43"/>
  <c r="D82" i="43" s="1"/>
  <c r="F81" i="43"/>
  <c r="G81" i="43"/>
  <c r="H82" i="43" s="1"/>
  <c r="I82" i="43" s="1"/>
  <c r="J82" i="43" l="1"/>
  <c r="L82" i="43"/>
  <c r="K83" i="43" s="1"/>
  <c r="E82" i="43"/>
  <c r="C83" i="43" l="1"/>
  <c r="B83" i="43"/>
  <c r="F82" i="43"/>
  <c r="G82" i="43"/>
  <c r="H83" i="43" s="1"/>
  <c r="I83" i="43" s="1"/>
  <c r="D83" i="43" l="1"/>
  <c r="J83" i="43" s="1"/>
  <c r="L83" i="43" s="1"/>
  <c r="K84" i="43" s="1"/>
  <c r="E83" i="43"/>
  <c r="C84" i="43" l="1"/>
  <c r="G83" i="43"/>
  <c r="H84" i="43" s="1"/>
  <c r="I84" i="43" s="1"/>
  <c r="F83" i="43"/>
  <c r="B84" i="43"/>
  <c r="D84" i="43" l="1"/>
  <c r="J84" i="43" s="1"/>
  <c r="E84" i="43"/>
  <c r="C85" i="43" l="1"/>
  <c r="G84" i="43"/>
  <c r="H85" i="43" s="1"/>
  <c r="I85" i="43" s="1"/>
  <c r="F84" i="43"/>
  <c r="L84" i="43" l="1"/>
  <c r="K85" i="43" s="1"/>
  <c r="B85" i="43"/>
  <c r="D85" i="43" l="1"/>
  <c r="J85" i="43" s="1"/>
  <c r="E85" i="43"/>
  <c r="C86" i="43" l="1"/>
  <c r="F85" i="43"/>
  <c r="G85" i="43"/>
  <c r="H86" i="43" s="1"/>
  <c r="I86" i="43" s="1"/>
  <c r="L85" i="43" l="1"/>
  <c r="K86" i="43" s="1"/>
  <c r="B86" i="43"/>
  <c r="D86" i="43" l="1"/>
  <c r="J86" i="43" s="1"/>
  <c r="E86" i="43"/>
  <c r="C87" i="43" l="1"/>
  <c r="G86" i="43"/>
  <c r="H87" i="43" s="1"/>
  <c r="I87" i="43" s="1"/>
  <c r="F86" i="43"/>
  <c r="L86" i="43" l="1"/>
  <c r="K87" i="43" s="1"/>
  <c r="B87" i="43"/>
  <c r="D87" i="43" l="1"/>
  <c r="E87" i="43"/>
  <c r="J87" i="43" l="1"/>
  <c r="L87" i="43" s="1"/>
  <c r="K88" i="43" s="1"/>
  <c r="G87" i="43"/>
  <c r="H88" i="43" s="1"/>
  <c r="I88" i="43" s="1"/>
  <c r="F87" i="43"/>
  <c r="B88" i="43" l="1"/>
  <c r="C88" i="43"/>
  <c r="D88" i="43" s="1"/>
  <c r="J88" i="43" s="1"/>
  <c r="E88" i="43"/>
  <c r="F88" i="43" s="1"/>
  <c r="C89" i="43" l="1"/>
  <c r="G88" i="43"/>
  <c r="H89" i="43" s="1"/>
  <c r="I89" i="43" s="1"/>
  <c r="L88" i="43"/>
  <c r="K89" i="43" s="1"/>
  <c r="B89" i="43"/>
  <c r="D89" i="43" l="1"/>
  <c r="J89" i="43" s="1"/>
  <c r="E89" i="43"/>
  <c r="C90" i="43" l="1"/>
  <c r="G89" i="43"/>
  <c r="H90" i="43" s="1"/>
  <c r="I90" i="43" s="1"/>
  <c r="F89" i="43"/>
  <c r="L89" i="43" l="1"/>
  <c r="K90" i="43" s="1"/>
  <c r="B90" i="43"/>
  <c r="D90" i="43" l="1"/>
  <c r="E90" i="43"/>
  <c r="J90" i="43" l="1"/>
  <c r="L90" i="43" s="1"/>
  <c r="K91" i="43" s="1"/>
  <c r="F90" i="43"/>
  <c r="G90" i="43"/>
  <c r="H91" i="43" s="1"/>
  <c r="C91" i="43" l="1"/>
  <c r="B91" i="43"/>
  <c r="D91" i="43"/>
  <c r="J91" i="43" s="1"/>
  <c r="E91" i="43"/>
  <c r="F91" i="43" s="1"/>
  <c r="I91" i="43"/>
  <c r="G91" i="43" l="1"/>
  <c r="H92" i="43" s="1"/>
  <c r="I92" i="43" s="1"/>
  <c r="C92" i="43"/>
  <c r="L91" i="43"/>
  <c r="K92" i="43" s="1"/>
  <c r="B92" i="43"/>
  <c r="D92" i="43" l="1"/>
  <c r="J92" i="43" s="1"/>
  <c r="E92" i="43"/>
  <c r="C93" i="43" l="1"/>
  <c r="F92" i="43"/>
  <c r="G92" i="43"/>
  <c r="H93" i="43" s="1"/>
  <c r="I93" i="43" s="1"/>
  <c r="L92" i="43" l="1"/>
  <c r="K93" i="43" s="1"/>
  <c r="B93" i="43"/>
  <c r="D93" i="43" l="1"/>
  <c r="E93" i="43"/>
  <c r="J93" i="43" l="1"/>
  <c r="L93" i="43" s="1"/>
  <c r="K94" i="43" s="1"/>
  <c r="F93" i="43"/>
  <c r="G93" i="43"/>
  <c r="H94" i="43" s="1"/>
  <c r="I94" i="43" s="1"/>
  <c r="B94" i="43" l="1"/>
  <c r="E94" i="43" s="1"/>
  <c r="C94" i="43"/>
  <c r="D94" i="43"/>
  <c r="J94" i="43" l="1"/>
  <c r="L94" i="43" s="1"/>
  <c r="K95" i="43" s="1"/>
  <c r="F94" i="43"/>
  <c r="G94" i="43"/>
  <c r="H95" i="43" s="1"/>
  <c r="I95" i="43" s="1"/>
  <c r="B95" i="43" l="1"/>
  <c r="E95" i="43" s="1"/>
  <c r="C95" i="43"/>
  <c r="D95" i="43" s="1"/>
  <c r="J95" i="43" s="1"/>
  <c r="L95" i="43" s="1"/>
  <c r="K96" i="43" s="1"/>
  <c r="C96" i="43" l="1"/>
  <c r="F95" i="43"/>
  <c r="G95" i="43"/>
  <c r="H96" i="43" s="1"/>
  <c r="I96" i="43" s="1"/>
  <c r="B96" i="43"/>
  <c r="D96" i="43" l="1"/>
  <c r="J96" i="43" s="1"/>
  <c r="E96" i="43"/>
  <c r="C97" i="43" l="1"/>
  <c r="F96" i="43"/>
  <c r="G96" i="43"/>
  <c r="H97" i="43" s="1"/>
  <c r="I97" i="43" s="1"/>
  <c r="L96" i="43" l="1"/>
  <c r="K97" i="43" s="1"/>
  <c r="B97" i="43"/>
  <c r="D97" i="43" l="1"/>
  <c r="J97" i="43" s="1"/>
  <c r="E97" i="43"/>
  <c r="C98" i="43" l="1"/>
  <c r="G97" i="43"/>
  <c r="H98" i="43" s="1"/>
  <c r="I98" i="43" s="1"/>
  <c r="F97" i="43"/>
  <c r="L97" i="43" l="1"/>
  <c r="K98" i="43" s="1"/>
  <c r="B98" i="43"/>
  <c r="D98" i="43" s="1"/>
  <c r="J98" i="43" s="1"/>
  <c r="L98" i="43" l="1"/>
  <c r="K99" i="43" s="1"/>
  <c r="E98" i="43"/>
  <c r="B99" i="43" l="1"/>
  <c r="E99" i="43" s="1"/>
  <c r="C99" i="43"/>
  <c r="D99" i="43" s="1"/>
  <c r="G98" i="43"/>
  <c r="H99" i="43" s="1"/>
  <c r="I99" i="43" s="1"/>
  <c r="F98" i="43"/>
  <c r="J99" i="43" l="1"/>
  <c r="C100" i="43" s="1"/>
  <c r="F99" i="43"/>
  <c r="G99" i="43"/>
  <c r="H100" i="43" s="1"/>
  <c r="I100" i="43" s="1"/>
  <c r="L99" i="43" l="1"/>
  <c r="K100" i="43" s="1"/>
  <c r="B100" i="43"/>
  <c r="D100" i="43" l="1"/>
  <c r="J100" i="43" s="1"/>
  <c r="E100" i="43"/>
  <c r="C101" i="43" l="1"/>
  <c r="F100" i="43"/>
  <c r="G100" i="43"/>
  <c r="H101" i="43" s="1"/>
  <c r="I101" i="43" s="1"/>
  <c r="L100" i="43" l="1"/>
  <c r="K101" i="43" s="1"/>
  <c r="B101" i="43"/>
  <c r="D101" i="43" l="1"/>
  <c r="J101" i="43" s="1"/>
  <c r="E101" i="43"/>
  <c r="C102" i="43" l="1"/>
  <c r="F101" i="43"/>
  <c r="G101" i="43"/>
  <c r="H102" i="43" s="1"/>
  <c r="I102" i="43" s="1"/>
  <c r="L101" i="43" l="1"/>
  <c r="K102" i="43" s="1"/>
  <c r="B102" i="43"/>
  <c r="D102" i="43" l="1"/>
  <c r="J102" i="43" s="1"/>
  <c r="E102" i="43"/>
  <c r="C103" i="43" l="1"/>
  <c r="F102" i="43"/>
  <c r="G102" i="43"/>
  <c r="H103" i="43" s="1"/>
  <c r="I103" i="43" s="1"/>
  <c r="L102" i="43" l="1"/>
  <c r="K103" i="43" s="1"/>
  <c r="B103" i="43"/>
  <c r="D103" i="43" l="1"/>
  <c r="E103" i="43"/>
  <c r="J103" i="43" l="1"/>
  <c r="L103" i="43" s="1"/>
  <c r="K104" i="43" s="1"/>
  <c r="F103" i="43"/>
  <c r="G103" i="43"/>
  <c r="H104" i="43" s="1"/>
  <c r="I104" i="43" s="1"/>
  <c r="C104" i="43" l="1"/>
  <c r="B104" i="43"/>
  <c r="D104" i="43"/>
  <c r="J104" i="43" s="1"/>
  <c r="E104" i="43"/>
  <c r="C105" i="43" l="1"/>
  <c r="F104" i="43"/>
  <c r="G104" i="43"/>
  <c r="H105" i="43" s="1"/>
  <c r="I105" i="43" s="1"/>
  <c r="L104" i="43" l="1"/>
  <c r="K105" i="43" s="1"/>
  <c r="B105" i="43"/>
  <c r="D105" i="43" l="1"/>
  <c r="E105" i="43"/>
  <c r="J105" i="43" l="1"/>
  <c r="L105" i="43" s="1"/>
  <c r="K106" i="43" s="1"/>
  <c r="F105" i="43"/>
  <c r="G105" i="43"/>
  <c r="H106" i="43" s="1"/>
  <c r="I106" i="43" s="1"/>
  <c r="C106" i="43" l="1"/>
  <c r="B106" i="43"/>
  <c r="E106" i="43" s="1"/>
  <c r="F106" i="43" s="1"/>
  <c r="G106" i="43"/>
  <c r="H107" i="43" s="1"/>
  <c r="I107" i="43" s="1"/>
  <c r="D106" i="43" l="1"/>
  <c r="J106" i="43" s="1"/>
  <c r="C107" i="43" s="1"/>
  <c r="B107" i="43" l="1"/>
  <c r="L106" i="43"/>
  <c r="K107" i="43" s="1"/>
  <c r="D107" i="43"/>
  <c r="J107" i="43" s="1"/>
  <c r="L107" i="43" s="1"/>
  <c r="K108" i="43" s="1"/>
  <c r="E107" i="43"/>
  <c r="C108" i="43" l="1"/>
  <c r="F107" i="43"/>
  <c r="G107" i="43"/>
  <c r="H108" i="43" s="1"/>
  <c r="I108" i="43" s="1"/>
  <c r="B108" i="43"/>
  <c r="D108" i="43" s="1"/>
  <c r="J108" i="43" s="1"/>
  <c r="L108" i="43" l="1"/>
  <c r="K109" i="43" s="1"/>
  <c r="E108" i="43"/>
  <c r="C109" i="43" l="1"/>
  <c r="B109" i="43"/>
  <c r="F108" i="43"/>
  <c r="G108" i="43"/>
  <c r="H109" i="43" s="1"/>
  <c r="I109" i="43" s="1"/>
  <c r="D109" i="43" l="1"/>
  <c r="E109" i="43"/>
  <c r="J109" i="43" l="1"/>
  <c r="L109" i="43" s="1"/>
  <c r="K110" i="43" s="1"/>
  <c r="G109" i="43"/>
  <c r="H110" i="43" s="1"/>
  <c r="I110" i="43" s="1"/>
  <c r="F109" i="43"/>
  <c r="C110" i="43" l="1"/>
  <c r="B110" i="43"/>
  <c r="E110" i="43" s="1"/>
  <c r="G110" i="43" s="1"/>
  <c r="H111" i="43" s="1"/>
  <c r="I111" i="43" s="1"/>
  <c r="D110" i="43" l="1"/>
  <c r="J110" i="43" s="1"/>
  <c r="L110" i="43" s="1"/>
  <c r="K111" i="43" s="1"/>
  <c r="F110" i="43"/>
  <c r="B111" i="43" l="1"/>
  <c r="C111" i="43"/>
  <c r="D111" i="43" s="1"/>
  <c r="J111" i="43" s="1"/>
  <c r="E111" i="43"/>
  <c r="C112" i="43" l="1"/>
  <c r="L111" i="43"/>
  <c r="K112" i="43" s="1"/>
  <c r="B112" i="43"/>
  <c r="F111" i="43"/>
  <c r="G111" i="43"/>
  <c r="H112" i="43" s="1"/>
  <c r="I112" i="43" s="1"/>
  <c r="D112" i="43" l="1"/>
  <c r="J112" i="43" s="1"/>
  <c r="E112" i="43"/>
  <c r="C113" i="43" l="1"/>
  <c r="F112" i="43"/>
  <c r="G112" i="43"/>
  <c r="H113" i="43" s="1"/>
  <c r="I113" i="43" l="1"/>
  <c r="L112" i="43"/>
  <c r="K113" i="43" s="1"/>
  <c r="B113" i="43"/>
  <c r="D113" i="43" s="1"/>
  <c r="J113" i="43" l="1"/>
  <c r="E113" i="43"/>
  <c r="C114" i="43" l="1"/>
  <c r="G113" i="43"/>
  <c r="H114" i="43" s="1"/>
  <c r="I114" i="43" s="1"/>
  <c r="F113" i="43"/>
  <c r="L113" i="43"/>
  <c r="K114" i="43" s="1"/>
  <c r="B114" i="43" l="1"/>
  <c r="D114" i="43" s="1"/>
  <c r="J114" i="43" s="1"/>
  <c r="E114" i="43" l="1"/>
  <c r="F114" i="43" s="1"/>
  <c r="L114" i="43"/>
  <c r="K115" i="43" s="1"/>
  <c r="G114" i="43"/>
  <c r="H115" i="43" s="1"/>
  <c r="I115" i="43" s="1"/>
  <c r="C115" i="43" l="1"/>
  <c r="B115" i="43"/>
  <c r="D115" i="43" l="1"/>
  <c r="J115" i="43" s="1"/>
  <c r="E115" i="43"/>
  <c r="G115" i="43" s="1"/>
  <c r="H116" i="43" s="1"/>
  <c r="I116" i="43" s="1"/>
  <c r="F115" i="43" l="1"/>
  <c r="C116" i="43"/>
  <c r="L115" i="43"/>
  <c r="K116" i="43" s="1"/>
  <c r="B116" i="43"/>
  <c r="D116" i="43" l="1"/>
  <c r="J116" i="43" s="1"/>
  <c r="E116" i="43"/>
  <c r="C117" i="43" l="1"/>
  <c r="G116" i="43"/>
  <c r="H117" i="43" s="1"/>
  <c r="I117" i="43" s="1"/>
  <c r="F116" i="43"/>
  <c r="L116" i="43" l="1"/>
  <c r="K117" i="43" s="1"/>
  <c r="B117" i="43"/>
  <c r="D117" i="43" l="1"/>
  <c r="J117" i="43" s="1"/>
  <c r="E117" i="43"/>
  <c r="C118" i="43" l="1"/>
  <c r="G117" i="43"/>
  <c r="H118" i="43" s="1"/>
  <c r="I118" i="43" s="1"/>
  <c r="F117" i="43"/>
  <c r="L117" i="43" l="1"/>
  <c r="K118" i="43" s="1"/>
  <c r="B118" i="43"/>
  <c r="D118" i="43" l="1"/>
  <c r="J118" i="43" s="1"/>
  <c r="E118" i="43"/>
  <c r="C119" i="43" l="1"/>
  <c r="F118" i="43"/>
  <c r="G118" i="43"/>
  <c r="H119" i="43" s="1"/>
  <c r="I119" i="43" s="1"/>
  <c r="L118" i="43" l="1"/>
  <c r="K119" i="43" s="1"/>
  <c r="B119" i="43"/>
  <c r="D119" i="43" l="1"/>
  <c r="J119" i="43" s="1"/>
  <c r="E119" i="43"/>
  <c r="C120" i="43" l="1"/>
  <c r="F119" i="43"/>
  <c r="G119" i="43"/>
  <c r="H120" i="43" s="1"/>
  <c r="I120" i="43" s="1"/>
  <c r="L119" i="43" l="1"/>
  <c r="K120" i="43" s="1"/>
  <c r="B120" i="43"/>
  <c r="D120" i="43" l="1"/>
  <c r="E120" i="43"/>
  <c r="J120" i="43" l="1"/>
  <c r="L120" i="43" s="1"/>
  <c r="K121" i="43" s="1"/>
  <c r="G120" i="43"/>
  <c r="H121" i="43" s="1"/>
  <c r="I121" i="43" s="1"/>
  <c r="F120" i="43"/>
  <c r="C121" i="43" l="1"/>
  <c r="B121" i="43"/>
  <c r="D121" i="43" s="1"/>
  <c r="J121" i="43" s="1"/>
  <c r="L121" i="43" s="1"/>
  <c r="K122" i="43" s="1"/>
  <c r="E121" i="43" l="1"/>
  <c r="C122" i="43"/>
  <c r="G121" i="43"/>
  <c r="H122" i="43" s="1"/>
  <c r="I122" i="43" s="1"/>
  <c r="F121" i="43"/>
  <c r="B122" i="43"/>
  <c r="D122" i="43" l="1"/>
  <c r="E122" i="43"/>
  <c r="J122" i="43" l="1"/>
  <c r="L122" i="43" s="1"/>
  <c r="K123" i="43" s="1"/>
  <c r="G122" i="43"/>
  <c r="H123" i="43" s="1"/>
  <c r="I123" i="43" s="1"/>
  <c r="F122" i="43"/>
  <c r="C123" i="43" l="1"/>
  <c r="B123" i="43"/>
  <c r="E123" i="43" s="1"/>
  <c r="D123" i="43"/>
  <c r="J123" i="43" s="1"/>
  <c r="L123" i="43" s="1"/>
  <c r="K124" i="43" s="1"/>
  <c r="C124" i="43" l="1"/>
  <c r="G123" i="43"/>
  <c r="H124" i="43" s="1"/>
  <c r="I124" i="43" s="1"/>
  <c r="F123" i="43"/>
  <c r="B124" i="43"/>
  <c r="D124" i="43" l="1"/>
  <c r="J124" i="43" s="1"/>
  <c r="E124" i="43"/>
  <c r="C125" i="43" l="1"/>
  <c r="F124" i="43"/>
  <c r="G124" i="43"/>
  <c r="H125" i="43" s="1"/>
  <c r="I125" i="43" s="1"/>
  <c r="L124" i="43" l="1"/>
  <c r="K125" i="43" s="1"/>
  <c r="B125" i="43"/>
  <c r="D125" i="43" s="1"/>
  <c r="J125" i="43" s="1"/>
  <c r="E125" i="43" l="1"/>
  <c r="F125" i="43" s="1"/>
  <c r="L125" i="43"/>
  <c r="G125" i="43"/>
</calcChain>
</file>

<file path=xl/sharedStrings.xml><?xml version="1.0" encoding="utf-8"?>
<sst xmlns="http://schemas.openxmlformats.org/spreadsheetml/2006/main" count="273" uniqueCount="169">
  <si>
    <t>dimensionless</t>
  </si>
  <si>
    <t>GtC</t>
  </si>
  <si>
    <t>VARIABLES</t>
  </si>
  <si>
    <t>Comment</t>
  </si>
  <si>
    <t>Definition</t>
  </si>
  <si>
    <t>Units</t>
  </si>
  <si>
    <t>Value</t>
  </si>
  <si>
    <t>Symbol</t>
  </si>
  <si>
    <t>/yr</t>
  </si>
  <si>
    <t>YEAR</t>
  </si>
  <si>
    <t>EMISSIONS</t>
  </si>
  <si>
    <t>CUMULATIVE EMISSIONS</t>
  </si>
  <si>
    <t>TEMPERATURE CHANGE</t>
  </si>
  <si>
    <t>GWP</t>
  </si>
  <si>
    <t>u (GtC/yr)</t>
  </si>
  <si>
    <t>(INFRA)STRUCTURE DECAY RATE</t>
  </si>
  <si>
    <t>GWP RGR</t>
  </si>
  <si>
    <t>GWP to emissions scaling</t>
  </si>
  <si>
    <t>LOW CARBON ECONOMY</t>
  </si>
  <si>
    <t>TOTAL ECONOMY</t>
  </si>
  <si>
    <t>A</t>
  </si>
  <si>
    <t>CAPITAL</t>
  </si>
  <si>
    <t>K (T$)</t>
  </si>
  <si>
    <t>y (T$/yr)</t>
  </si>
  <si>
    <t>d (/yr)</t>
  </si>
  <si>
    <t>T$</t>
  </si>
  <si>
    <r>
      <rPr>
        <b/>
        <sz val="11"/>
        <color theme="1"/>
        <rFont val="Calibri"/>
        <family val="2"/>
      </rPr>
      <t xml:space="preserve">U </t>
    </r>
    <r>
      <rPr>
        <b/>
        <sz val="11"/>
        <color theme="1"/>
        <rFont val="Calibri"/>
        <family val="2"/>
        <scheme val="minor"/>
      </rPr>
      <t>(GtC)</t>
    </r>
  </si>
  <si>
    <r>
      <rPr>
        <b/>
        <sz val="11"/>
        <color theme="1"/>
        <rFont val="Arial"/>
        <family val="2"/>
      </rPr>
      <t>Δ</t>
    </r>
    <r>
      <rPr>
        <b/>
        <sz val="11"/>
        <color theme="1"/>
        <rFont val="Calibri"/>
        <family val="2"/>
        <scheme val="minor"/>
      </rPr>
      <t>T (K)</t>
    </r>
  </si>
  <si>
    <t>g (%/yr)</t>
  </si>
  <si>
    <t>HIGH CARBON EECONOMY</t>
  </si>
  <si>
    <t>PEU</t>
  </si>
  <si>
    <t>GMSTC</t>
  </si>
  <si>
    <t>T$/yr</t>
  </si>
  <si>
    <t>TW</t>
  </si>
  <si>
    <t>sT</t>
  </si>
  <si>
    <r>
      <rPr>
        <b/>
        <sz val="11"/>
        <color theme="1"/>
        <rFont val="Arial"/>
        <family val="2"/>
      </rPr>
      <t>Δ</t>
    </r>
    <r>
      <rPr>
        <b/>
        <sz val="11"/>
        <color theme="1"/>
        <rFont val="Calibri"/>
        <family val="2"/>
        <scheme val="minor"/>
      </rPr>
      <t>T (°C)</t>
    </r>
  </si>
  <si>
    <t>1980 value for total capital</t>
  </si>
  <si>
    <t>1980 value for cumulative emissions</t>
  </si>
  <si>
    <t>POP</t>
  </si>
  <si>
    <t>CAPITAL DECAY RATE</t>
  </si>
  <si>
    <t>Billions</t>
  </si>
  <si>
    <t>g (/yr)</t>
  </si>
  <si>
    <t>GtC/T$</t>
  </si>
  <si>
    <t>2020 carbon intensity of the HCE</t>
  </si>
  <si>
    <t>$/tC</t>
  </si>
  <si>
    <t>(/yr)</t>
  </si>
  <si>
    <r>
      <rPr>
        <b/>
        <sz val="11"/>
        <color theme="1"/>
        <rFont val="Calibri"/>
        <family val="2"/>
      </rPr>
      <t>Σ</t>
    </r>
    <r>
      <rPr>
        <b/>
        <sz val="9.9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(GtC)</t>
    </r>
  </si>
  <si>
    <r>
      <t>/yr/</t>
    </r>
    <r>
      <rPr>
        <b/>
        <sz val="11"/>
        <color theme="1"/>
        <rFont val="Calibri"/>
        <family val="2"/>
      </rPr>
      <t>°</t>
    </r>
    <r>
      <rPr>
        <b/>
        <sz val="8.8000000000000007"/>
        <color theme="1"/>
        <rFont val="Calibri"/>
        <family val="2"/>
      </rPr>
      <t>C</t>
    </r>
  </si>
  <si>
    <t>GtC/yr</t>
  </si>
  <si>
    <t xml:space="preserve"> </t>
  </si>
  <si>
    <r>
      <rPr>
        <b/>
        <sz val="11"/>
        <color theme="1"/>
        <rFont val="Calibri"/>
        <family val="2"/>
      </rPr>
      <t>Σ</t>
    </r>
    <r>
      <rPr>
        <b/>
        <sz val="9.9"/>
        <color theme="1"/>
        <rFont val="Calibri"/>
        <family val="2"/>
      </rPr>
      <t>u</t>
    </r>
    <r>
      <rPr>
        <b/>
        <sz val="11"/>
        <color theme="1"/>
        <rFont val="Calibri"/>
        <family val="2"/>
        <scheme val="minor"/>
      </rPr>
      <t>(1980)</t>
    </r>
  </si>
  <si>
    <t>Design capital decay rate</t>
  </si>
  <si>
    <t>tC</t>
  </si>
  <si>
    <t>tC/yr</t>
  </si>
  <si>
    <t>°C</t>
  </si>
  <si>
    <t>$/yr</t>
  </si>
  <si>
    <t>CAPITAL LOST</t>
  </si>
  <si>
    <t>SCC 2020 - 2050</t>
  </si>
  <si>
    <t>$</t>
  </si>
  <si>
    <t>$/tCO2</t>
  </si>
  <si>
    <t>DECAY RATE CHANGE</t>
  </si>
  <si>
    <t>TOTAL GLOBAL CAPITAL</t>
  </si>
  <si>
    <t>SCC 2020 - 2100</t>
  </si>
  <si>
    <t>I2020</t>
  </si>
  <si>
    <t>c</t>
  </si>
  <si>
    <t>Land Use Change emissions</t>
  </si>
  <si>
    <t>INDUSTRIAL EMISSIONS</t>
  </si>
  <si>
    <r>
      <rPr>
        <b/>
        <sz val="11"/>
        <color theme="1"/>
        <rFont val="Calibri"/>
        <family val="2"/>
      </rPr>
      <t>°C</t>
    </r>
    <r>
      <rPr>
        <b/>
        <sz val="11"/>
        <color theme="1"/>
        <rFont val="Calibri"/>
        <family val="2"/>
        <scheme val="minor"/>
      </rPr>
      <t>/GtC</t>
    </r>
  </si>
  <si>
    <t>Social Cost of Carbon</t>
  </si>
  <si>
    <t>COMMENTS</t>
  </si>
  <si>
    <t xml:space="preserve">We have deliberately left variables in their base units to hopefully help appreciate the tiny marginal impact of the additional one tonne of carbon added to the global system. </t>
  </si>
  <si>
    <t>sd</t>
  </si>
  <si>
    <t>World Bank Total Wealth</t>
  </si>
  <si>
    <t xml:space="preserve"> (T2018$)</t>
  </si>
  <si>
    <t>K(1980)</t>
  </si>
  <si>
    <t>World Bank Gross World Product</t>
  </si>
  <si>
    <t>T2015$PPP/yr</t>
  </si>
  <si>
    <t>https://data.worldbank.org/indicator/NY.GDP.MKTP.KD</t>
  </si>
  <si>
    <t>https://databank.worldbank.org/source/wealth-accounts</t>
  </si>
  <si>
    <t>Mauna Loa atmospheric CO2 concentration</t>
  </si>
  <si>
    <t>ppm</t>
  </si>
  <si>
    <t>https://gml.noaa.gov/webdata/ccgg/trends/co2/co2_annmean_mlo.txt</t>
  </si>
  <si>
    <t>HadCRUT5 global temperature anomalies</t>
  </si>
  <si>
    <t>https://www.metoffice.gov.uk/hadobs/hadcrut5/data/current/analysis/diagnostics/HadCRUT.5.0.1.0.analysis.summary_series.global.annual.csv</t>
  </si>
  <si>
    <t>Global Mean Surface temperature change</t>
  </si>
  <si>
    <t>Baselined to 1850-1900</t>
  </si>
  <si>
    <t>World Energy Institute direct Primary Energy Use</t>
  </si>
  <si>
    <t>Human-Induced Warming</t>
  </si>
  <si>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</si>
  <si>
    <t>HIW</t>
  </si>
  <si>
    <t>https://ourworldindata.org/grapher/global-primary-energy</t>
  </si>
  <si>
    <t>Baselined to 1850-1900 and estimated by regression on atmospheric CO2</t>
  </si>
  <si>
    <t>SIAM DATABASE</t>
  </si>
  <si>
    <t>i</t>
  </si>
  <si>
    <t>SIAM PARAMETER VALUES - all scenarios</t>
  </si>
  <si>
    <t>Total factor productivity</t>
  </si>
  <si>
    <t>Investment rate</t>
  </si>
  <si>
    <t>Global Carbon Project global CO2 emissions</t>
  </si>
  <si>
    <t>Uncertainty</t>
  </si>
  <si>
    <t>https://ourworldindata.org/co2-emissions</t>
  </si>
  <si>
    <t>u</t>
  </si>
  <si>
    <t>Cumulative emissions</t>
  </si>
  <si>
    <t>GROWTH RATES</t>
  </si>
  <si>
    <t>%/yr</t>
  </si>
  <si>
    <t>SIAM DECARBONISATION scenario</t>
  </si>
  <si>
    <t>r0, d0</t>
  </si>
  <si>
    <t>TT</t>
  </si>
  <si>
    <r>
      <rPr>
        <b/>
        <sz val="11"/>
        <color theme="1"/>
        <rFont val="Calibri"/>
        <family val="2"/>
      </rPr>
      <t>°</t>
    </r>
    <r>
      <rPr>
        <b/>
        <sz val="8.8000000000000007"/>
        <color theme="1"/>
        <rFont val="Calibri"/>
        <family val="2"/>
      </rPr>
      <t>C</t>
    </r>
  </si>
  <si>
    <t>Climate sensitivity</t>
  </si>
  <si>
    <t>Economic sensitivity</t>
  </si>
  <si>
    <t>Temperature threshold</t>
  </si>
  <si>
    <t>( )</t>
  </si>
  <si>
    <t>Calculated from atmospheric CO2 concentration and assuming an airborne fraction of 44%</t>
  </si>
  <si>
    <t>HUMAN-INDUCED WARMING</t>
  </si>
  <si>
    <t>SIAM BAU SCENARIO</t>
  </si>
  <si>
    <t>DIVIDE ECONOMY INTO HCE &amp; LCE</t>
  </si>
  <si>
    <t>i( )</t>
  </si>
  <si>
    <t>PRIMARY ENERGY USE</t>
  </si>
  <si>
    <t>EJ/yr</t>
  </si>
  <si>
    <t>UN median global population projection</t>
  </si>
  <si>
    <t>B(people)</t>
  </si>
  <si>
    <t>lambda</t>
  </si>
  <si>
    <t>$/MJ</t>
  </si>
  <si>
    <t>useful work to money conversion factor</t>
  </si>
  <si>
    <t>SIAM REBOUND SCENARIO</t>
  </si>
  <si>
    <t>EFFICIENCY</t>
  </si>
  <si>
    <t>y (EJ/yr)</t>
  </si>
  <si>
    <t>RGR</t>
  </si>
  <si>
    <t>ENERGY EFFICIENT ECONOMY</t>
  </si>
  <si>
    <t>ENERGY INEFFICIENT ECONOMY</t>
  </si>
  <si>
    <t>au</t>
  </si>
  <si>
    <t>bu</t>
  </si>
  <si>
    <t>an</t>
  </si>
  <si>
    <t>bn</t>
  </si>
  <si>
    <t>ap</t>
  </si>
  <si>
    <t>bp</t>
  </si>
  <si>
    <t>in(1980)</t>
  </si>
  <si>
    <t>GWP to GtC</t>
  </si>
  <si>
    <t>T$ to ()</t>
  </si>
  <si>
    <t>T$ to EJ/yr</t>
  </si>
  <si>
    <t>PRODUCTIVE CAPITAL</t>
  </si>
  <si>
    <t>PRODUCTIVE INVESTMENT</t>
  </si>
  <si>
    <t>0.03/(4-B11)</t>
  </si>
  <si>
    <t>ROI</t>
  </si>
  <si>
    <t>BAU PRIMARY ENERGY USE</t>
  </si>
  <si>
    <t>si</t>
  </si>
  <si>
    <t>Adaption rate for protectivity investment</t>
  </si>
  <si>
    <t>efficiency investment level in 1980 - 2020</t>
  </si>
  <si>
    <t>capital to efficiency scaling</t>
  </si>
  <si>
    <t>capital to PEU scaling</t>
  </si>
  <si>
    <t>ADAPTATION FACTOR</t>
  </si>
  <si>
    <t>ADAPTED CAPITAL LOST</t>
  </si>
  <si>
    <t>SCC 2020 to forever</t>
  </si>
  <si>
    <t>K_A (T$)</t>
  </si>
  <si>
    <t>EXPECTED ROI</t>
  </si>
  <si>
    <t>Expected return on investment</t>
  </si>
  <si>
    <t>ANTICIPATED CAPITAL DECAY RATE</t>
  </si>
  <si>
    <t>OBSERVED CAPITAL DECAY RATE</t>
  </si>
  <si>
    <t>RETURN ON INVESTMENT</t>
  </si>
  <si>
    <r>
      <t>K</t>
    </r>
    <r>
      <rPr>
        <b/>
        <sz val="11"/>
        <color theme="1"/>
        <rFont val="Arial"/>
        <family val="2"/>
      </rPr>
      <t>η</t>
    </r>
    <r>
      <rPr>
        <b/>
        <sz val="11"/>
        <color theme="1"/>
        <rFont val="Calibri"/>
        <family val="2"/>
        <scheme val="minor"/>
      </rPr>
      <t xml:space="preserve"> (T$)</t>
    </r>
  </si>
  <si>
    <t>Kp (T$)</t>
  </si>
  <si>
    <t>EFFICIENT CAPITAL</t>
  </si>
  <si>
    <t>INEFFICIENT CAPITAL</t>
  </si>
  <si>
    <t>in x 2</t>
  </si>
  <si>
    <t>double investment in energy investment</t>
  </si>
  <si>
    <t>ae</t>
  </si>
  <si>
    <t>carbon intensity of primary energy</t>
  </si>
  <si>
    <t>GtC/EJ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</si>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</sst>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"/>
    <numFmt numFmtId="167" formatCode="0.0%"/>
    <numFmt numFmtId="168" formatCode="0.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8.8000000000000007"/>
      <color theme="1"/>
      <name val="Calibri"/>
      <family val="2"/>
    </font>
    <font>
      <b/>
      <sz val="9.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" fontId="0" fillId="0" borderId="1" xfId="0" applyNumberFormat="1" applyBorder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0" fillId="0" borderId="0" xfId="0" applyNumberFormat="1"/>
    <xf numFmtId="2" fontId="4" fillId="0" borderId="0" xfId="0" applyNumberFormat="1" applyFont="1"/>
    <xf numFmtId="164" fontId="0" fillId="0" borderId="0" xfId="0" applyNumberFormat="1"/>
    <xf numFmtId="2" fontId="0" fillId="4" borderId="1" xfId="0" applyNumberFormat="1" applyFill="1" applyBorder="1" applyAlignment="1">
      <alignment vertical="center"/>
    </xf>
    <xf numFmtId="0" fontId="0" fillId="0" borderId="1" xfId="0" applyBorder="1"/>
    <xf numFmtId="10" fontId="0" fillId="0" borderId="1" xfId="0" applyNumberFormat="1" applyBorder="1"/>
    <xf numFmtId="16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0" fillId="4" borderId="1" xfId="0" applyNumberFormat="1" applyFill="1" applyBorder="1" applyAlignment="1">
      <alignment vertical="center"/>
    </xf>
    <xf numFmtId="10" fontId="1" fillId="4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1" fillId="0" borderId="3" xfId="0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3" borderId="5" xfId="0" applyFill="1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2" fontId="0" fillId="3" borderId="5" xfId="0" applyNumberFormat="1" applyFill="1" applyBorder="1" applyAlignment="1">
      <alignment horizontal="right" wrapText="1"/>
    </xf>
    <xf numFmtId="0" fontId="0" fillId="3" borderId="5" xfId="0" applyFill="1" applyBorder="1" applyAlignment="1">
      <alignment horizontal="right"/>
    </xf>
    <xf numFmtId="2" fontId="0" fillId="3" borderId="5" xfId="0" applyNumberFormat="1" applyFill="1" applyBorder="1" applyAlignment="1">
      <alignment horizontal="right"/>
    </xf>
    <xf numFmtId="0" fontId="0" fillId="3" borderId="5" xfId="0" applyFill="1" applyBorder="1"/>
    <xf numFmtId="0" fontId="1" fillId="3" borderId="5" xfId="0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2" fontId="1" fillId="0" borderId="0" xfId="0" applyNumberFormat="1" applyFont="1"/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1" fontId="0" fillId="0" borderId="0" xfId="0" applyNumberFormat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1" fontId="0" fillId="4" borderId="0" xfId="0" applyNumberFormat="1" applyFill="1"/>
    <xf numFmtId="11" fontId="0" fillId="0" borderId="1" xfId="0" applyNumberFormat="1" applyBorder="1"/>
    <xf numFmtId="11" fontId="0" fillId="4" borderId="1" xfId="0" applyNumberFormat="1" applyFill="1" applyBorder="1"/>
    <xf numFmtId="0" fontId="1" fillId="0" borderId="1" xfId="0" applyFont="1" applyBorder="1" applyAlignment="1">
      <alignment horizontal="right"/>
    </xf>
    <xf numFmtId="1" fontId="1" fillId="6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11" fontId="7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right" wrapText="1"/>
    </xf>
    <xf numFmtId="2" fontId="9" fillId="0" borderId="0" xfId="0" applyNumberFormat="1" applyFont="1"/>
    <xf numFmtId="2" fontId="0" fillId="0" borderId="0" xfId="0" applyNumberFormat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167" fontId="0" fillId="0" borderId="0" xfId="3" applyNumberFormat="1" applyFont="1"/>
    <xf numFmtId="10" fontId="1" fillId="4" borderId="1" xfId="0" applyNumberFormat="1" applyFont="1" applyFill="1" applyBorder="1" applyAlignment="1">
      <alignment horizontal="right" vertical="center"/>
    </xf>
    <xf numFmtId="10" fontId="0" fillId="0" borderId="0" xfId="3" applyNumberFormat="1" applyFont="1"/>
    <xf numFmtId="2" fontId="0" fillId="4" borderId="5" xfId="0" applyNumberFormat="1" applyFill="1" applyBorder="1" applyAlignment="1">
      <alignment horizontal="right"/>
    </xf>
    <xf numFmtId="10" fontId="1" fillId="0" borderId="0" xfId="0" applyNumberFormat="1" applyFont="1"/>
    <xf numFmtId="165" fontId="1" fillId="0" borderId="1" xfId="0" applyNumberFormat="1" applyFont="1" applyBorder="1" applyAlignment="1">
      <alignment horizontal="right" vertical="center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/>
    </xf>
    <xf numFmtId="10" fontId="0" fillId="3" borderId="1" xfId="3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1" fontId="0" fillId="4" borderId="1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65" fontId="1" fillId="0" borderId="1" xfId="3" applyNumberFormat="1" applyFont="1" applyBorder="1" applyAlignment="1">
      <alignment horizontal="right" vertical="center"/>
    </xf>
    <xf numFmtId="165" fontId="1" fillId="0" borderId="1" xfId="0" applyNumberFormat="1" applyFont="1" applyBorder="1"/>
    <xf numFmtId="1" fontId="1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2" fontId="1" fillId="0" borderId="3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/>
    </xf>
    <xf numFmtId="2" fontId="0" fillId="0" borderId="1" xfId="3" applyNumberFormat="1" applyFont="1" applyBorder="1" applyAlignment="1">
      <alignment vertical="center"/>
    </xf>
    <xf numFmtId="2" fontId="0" fillId="0" borderId="3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4">
    <cellStyle name="Hyperlink 2" xfId="2" xr:uid="{6AE331BE-5FC7-4CBF-A338-B885856BB5D1}"/>
    <cellStyle name="Normal" xfId="0" builtinId="0"/>
    <cellStyle name="Normal 2" xfId="1" xr:uid="{B29936C3-4BDF-496B-A5A0-4A72A03503E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787080826608"/>
          <c:y val="6.9160579174130488E-2"/>
          <c:w val="0.683054052695515"/>
          <c:h val="0.80889968501414766"/>
        </c:manualLayout>
      </c:layout>
      <c:scatterChart>
        <c:scatterStyle val="smooth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8.7206939922356813E-2"/>
                  <c:y val="2.409074934009317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orbel Light" panose="020B0303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DATA!$C$23:$C$46</c:f>
              <c:numCache>
                <c:formatCode>0.00</c:formatCode>
                <c:ptCount val="24"/>
                <c:pt idx="0">
                  <c:v>565.08074710345034</c:v>
                </c:pt>
                <c:pt idx="1">
                  <c:v>582.15173199695755</c:v>
                </c:pt>
                <c:pt idx="2">
                  <c:v>600.49202282134547</c:v>
                </c:pt>
                <c:pt idx="3">
                  <c:v>619.83893830261025</c:v>
                </c:pt>
                <c:pt idx="4">
                  <c:v>637.55882970695575</c:v>
                </c:pt>
                <c:pt idx="5">
                  <c:v>658.70458725905405</c:v>
                </c:pt>
                <c:pt idx="6">
                  <c:v>676.1828364519555</c:v>
                </c:pt>
                <c:pt idx="7">
                  <c:v>686.35273170465757</c:v>
                </c:pt>
                <c:pt idx="8">
                  <c:v>701.69570258593387</c:v>
                </c:pt>
                <c:pt idx="9">
                  <c:v>719.46754174742011</c:v>
                </c:pt>
                <c:pt idx="10">
                  <c:v>739.30937841906098</c:v>
                </c:pt>
                <c:pt idx="11">
                  <c:v>773.78817942680598</c:v>
                </c:pt>
                <c:pt idx="12">
                  <c:v>804.96592812735832</c:v>
                </c:pt>
                <c:pt idx="13">
                  <c:v>816.10010910110373</c:v>
                </c:pt>
                <c:pt idx="14">
                  <c:v>826.08531137893897</c:v>
                </c:pt>
                <c:pt idx="15">
                  <c:v>846.80180606434908</c:v>
                </c:pt>
                <c:pt idx="16">
                  <c:v>873.23381309247168</c:v>
                </c:pt>
                <c:pt idx="17">
                  <c:v>901.57861891264008</c:v>
                </c:pt>
                <c:pt idx="18">
                  <c:v>930.23078473510191</c:v>
                </c:pt>
                <c:pt idx="19">
                  <c:v>957.77321382616014</c:v>
                </c:pt>
                <c:pt idx="20">
                  <c:v>993.15571456584382</c:v>
                </c:pt>
                <c:pt idx="21">
                  <c:v>1022.5838703501162</c:v>
                </c:pt>
                <c:pt idx="22">
                  <c:v>1055.4147943613948</c:v>
                </c:pt>
                <c:pt idx="23">
                  <c:v>1087.4628651877267</c:v>
                </c:pt>
              </c:numCache>
            </c:numRef>
          </c:xVal>
          <c:yVal>
            <c:numRef>
              <c:f>DATA!$B$23:$B$46</c:f>
              <c:numCache>
                <c:formatCode>0.00</c:formatCode>
                <c:ptCount val="24"/>
                <c:pt idx="0">
                  <c:v>40.393665990713885</c:v>
                </c:pt>
                <c:pt idx="1">
                  <c:v>41.840682592167603</c:v>
                </c:pt>
                <c:pt idx="2">
                  <c:v>43.494798274841926</c:v>
                </c:pt>
                <c:pt idx="3">
                  <c:v>44.731408554893612</c:v>
                </c:pt>
                <c:pt idx="4">
                  <c:v>46.336851678223788</c:v>
                </c:pt>
                <c:pt idx="5">
                  <c:v>48.437263200387974</c:v>
                </c:pt>
                <c:pt idx="6">
                  <c:v>49.422295421127075</c:v>
                </c:pt>
                <c:pt idx="7">
                  <c:v>50.567138353080395</c:v>
                </c:pt>
                <c:pt idx="8">
                  <c:v>52.13151818762136</c:v>
                </c:pt>
                <c:pt idx="9">
                  <c:v>54.463866515800866</c:v>
                </c:pt>
                <c:pt idx="10">
                  <c:v>56.65357944388542</c:v>
                </c:pt>
                <c:pt idx="11">
                  <c:v>59.180664984371901</c:v>
                </c:pt>
                <c:pt idx="12">
                  <c:v>61.768752251196396</c:v>
                </c:pt>
                <c:pt idx="13">
                  <c:v>63.038812186080818</c:v>
                </c:pt>
                <c:pt idx="14">
                  <c:v>62.192598074458644</c:v>
                </c:pt>
                <c:pt idx="15">
                  <c:v>65.00210544872121</c:v>
                </c:pt>
                <c:pt idx="16">
                  <c:v>67.170761718394303</c:v>
                </c:pt>
                <c:pt idx="17">
                  <c:v>68.978972328520314</c:v>
                </c:pt>
                <c:pt idx="18">
                  <c:v>70.960627147647529</c:v>
                </c:pt>
                <c:pt idx="19">
                  <c:v>73.182741848317406</c:v>
                </c:pt>
                <c:pt idx="20">
                  <c:v>75.472473882835061</c:v>
                </c:pt>
                <c:pt idx="21">
                  <c:v>77.596070030857177</c:v>
                </c:pt>
                <c:pt idx="22">
                  <c:v>80.274256581671864</c:v>
                </c:pt>
                <c:pt idx="23">
                  <c:v>82.909015820695814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64-4C4D-9D61-DC38C6FB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1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TOTAL CAPITAL (T$)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0"/>
      </c:valAx>
      <c:valAx>
        <c:axId val="54822710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GWP (T$/yr)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RETURN ON INVESTMENT</a:t>
            </a:r>
          </a:p>
        </c:rich>
      </c:tx>
      <c:layout>
        <c:manualLayout>
          <c:xMode val="edge"/>
          <c:yMode val="edge"/>
          <c:x val="0.33026793300321994"/>
          <c:y val="1.9607848182761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6.9160579174130488E-2"/>
          <c:w val="0.683054052695515"/>
          <c:h val="0.80889968501414766"/>
        </c:manualLayout>
      </c:layout>
      <c:scatterChart>
        <c:scatterStyle val="smoothMarker"/>
        <c:varyColors val="0"/>
        <c:ser>
          <c:idx val="5"/>
          <c:order val="0"/>
          <c:tx>
            <c:v>BAU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BAU!$A$5:$A$125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BAU!$I$5:$I$125</c:f>
              <c:numCache>
                <c:formatCode>0.000</c:formatCode>
                <c:ptCount val="12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2.4984314206103782</c:v>
                </c:pt>
                <c:pt idx="45">
                  <c:v>2.4655869811251074</c:v>
                </c:pt>
                <c:pt idx="46">
                  <c:v>2.4331553123571803</c:v>
                </c:pt>
                <c:pt idx="47">
                  <c:v>2.4011366466105812</c:v>
                </c:pt>
                <c:pt idx="48">
                  <c:v>2.3695310623087793</c:v>
                </c:pt>
                <c:pt idx="49">
                  <c:v>2.3383384844337836</c:v>
                </c:pt>
                <c:pt idx="50">
                  <c:v>2.3075586852165109</c:v>
                </c:pt>
                <c:pt idx="51">
                  <c:v>2.277191285071134</c:v>
                </c:pt>
                <c:pt idx="52">
                  <c:v>2.2472357537655956</c:v>
                </c:pt>
                <c:pt idx="53">
                  <c:v>2.2176914118200486</c:v>
                </c:pt>
                <c:pt idx="54">
                  <c:v>2.1885574321245862</c:v>
                </c:pt>
                <c:pt idx="55">
                  <c:v>2.159832841767269</c:v>
                </c:pt>
                <c:pt idx="56">
                  <c:v>2.1315165240631404</c:v>
                </c:pt>
                <c:pt idx="57">
                  <c:v>2.1036072207746628</c:v>
                </c:pt>
                <c:pt idx="58">
                  <c:v>2.0761035345137624</c:v>
                </c:pt>
                <c:pt idx="59">
                  <c:v>2.0490039313154909</c:v>
                </c:pt>
                <c:pt idx="60">
                  <c:v>2.0223067433731523</c:v>
                </c:pt>
                <c:pt idx="61">
                  <c:v>1.9960101719246441</c:v>
                </c:pt>
                <c:pt idx="62">
                  <c:v>1.970112290279683</c:v>
                </c:pt>
                <c:pt idx="63">
                  <c:v>1.9446110469775446</c:v>
                </c:pt>
                <c:pt idx="64">
                  <c:v>1.9195042690649626</c:v>
                </c:pt>
                <c:pt idx="65">
                  <c:v>1.8947896654838505</c:v>
                </c:pt>
                <c:pt idx="66">
                  <c:v>1.8704648305585916</c:v>
                </c:pt>
                <c:pt idx="67">
                  <c:v>1.8465272475727341</c:v>
                </c:pt>
                <c:pt idx="68">
                  <c:v>1.8229742924250538</c:v>
                </c:pt>
                <c:pt idx="69">
                  <c:v>1.7998032373551243</c:v>
                </c:pt>
                <c:pt idx="70">
                  <c:v>1.7770112547286872</c:v>
                </c:pt>
                <c:pt idx="71">
                  <c:v>1.7545954208733492</c:v>
                </c:pt>
                <c:pt idx="72">
                  <c:v>1.7325527199553481</c:v>
                </c:pt>
                <c:pt idx="73">
                  <c:v>1.7108800478883845</c:v>
                </c:pt>
                <c:pt idx="74">
                  <c:v>1.6895742162657843</c:v>
                </c:pt>
                <c:pt idx="75">
                  <c:v>1.6686319563075416</c:v>
                </c:pt>
                <c:pt idx="76">
                  <c:v>1.6480499228140897</c:v>
                </c:pt>
                <c:pt idx="77">
                  <c:v>1.6278246981189644</c:v>
                </c:pt>
                <c:pt idx="78">
                  <c:v>1.6079527960328464</c:v>
                </c:pt>
                <c:pt idx="79">
                  <c:v>1.5884306657717917</c:v>
                </c:pt>
                <c:pt idx="80">
                  <c:v>1.569254695862818</c:v>
                </c:pt>
                <c:pt idx="81">
                  <c:v>1.5504212180203378</c:v>
                </c:pt>
                <c:pt idx="82">
                  <c:v>1.5319265109872986</c:v>
                </c:pt>
                <c:pt idx="83">
                  <c:v>1.5137668043352261</c:v>
                </c:pt>
                <c:pt idx="84">
                  <c:v>1.4959382822177252</c:v>
                </c:pt>
                <c:pt idx="85">
                  <c:v>1.4784370870723504</c:v>
                </c:pt>
                <c:pt idx="86">
                  <c:v>1.4612593232660955</c:v>
                </c:pt>
                <c:pt idx="87">
                  <c:v>1.4444010606801088</c:v>
                </c:pt>
                <c:pt idx="88">
                  <c:v>1.4278583382295829</c:v>
                </c:pt>
                <c:pt idx="89">
                  <c:v>1.4116271673150953</c:v>
                </c:pt>
                <c:pt idx="90">
                  <c:v>1.3957035352020244</c:v>
                </c:pt>
                <c:pt idx="91">
                  <c:v>1.3800834083249702</c:v>
                </c:pt>
                <c:pt idx="92">
                  <c:v>1.3647627355144438</c:v>
                </c:pt>
                <c:pt idx="93">
                  <c:v>1.3497374511433817</c:v>
                </c:pt>
                <c:pt idx="94">
                  <c:v>1.3350034781913525</c:v>
                </c:pt>
                <c:pt idx="95">
                  <c:v>1.3205567312246007</c:v>
                </c:pt>
                <c:pt idx="96">
                  <c:v>1.3063931192903593</c:v>
                </c:pt>
                <c:pt idx="97">
                  <c:v>1.2925085487241266</c:v>
                </c:pt>
                <c:pt idx="98">
                  <c:v>1.2788989258688563</c:v>
                </c:pt>
                <c:pt idx="99">
                  <c:v>1.2655601597052661</c:v>
                </c:pt>
                <c:pt idx="100">
                  <c:v>1.252488164392686</c:v>
                </c:pt>
                <c:pt idx="101">
                  <c:v>1.2396788617201113</c:v>
                </c:pt>
                <c:pt idx="102">
                  <c:v>1.2271281834673178</c:v>
                </c:pt>
                <c:pt idx="103">
                  <c:v>1.2148320736761031</c:v>
                </c:pt>
                <c:pt idx="104">
                  <c:v>1.2027864908319117</c:v>
                </c:pt>
                <c:pt idx="105">
                  <c:v>1.1909874099562618</c:v>
                </c:pt>
                <c:pt idx="106">
                  <c:v>1.1794308246105738</c:v>
                </c:pt>
                <c:pt idx="107">
                  <c:v>1.1681127488121397</c:v>
                </c:pt>
                <c:pt idx="108">
                  <c:v>1.1570292188631246</c:v>
                </c:pt>
                <c:pt idx="109">
                  <c:v>1.1461762950936178</c:v>
                </c:pt>
                <c:pt idx="110">
                  <c:v>1.1355500635198705</c:v>
                </c:pt>
                <c:pt idx="111">
                  <c:v>1.12514663741898</c:v>
                </c:pt>
                <c:pt idx="112">
                  <c:v>1.1149621588213587</c:v>
                </c:pt>
                <c:pt idx="113">
                  <c:v>1.1049927999224454</c:v>
                </c:pt>
                <c:pt idx="114">
                  <c:v>1.0952347644151705</c:v>
                </c:pt>
                <c:pt idx="115">
                  <c:v>1.0856842887447864</c:v>
                </c:pt>
                <c:pt idx="116">
                  <c:v>1.0763376432877174</c:v>
                </c:pt>
                <c:pt idx="117">
                  <c:v>1.0671911334561515</c:v>
                </c:pt>
                <c:pt idx="118">
                  <c:v>1.0582411007301442</c:v>
                </c:pt>
                <c:pt idx="119">
                  <c:v>1.0494839236190463</c:v>
                </c:pt>
                <c:pt idx="120">
                  <c:v>1.0409160185540933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F8-4485-BF23-70D3DB2E8F09}"/>
            </c:ext>
          </c:extLst>
        </c:ser>
        <c:ser>
          <c:idx val="2"/>
          <c:order val="1"/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DECARBONISATION!$A$8:$A$88</c:f>
              <c:numCache>
                <c:formatCode>General</c:formatCode>
                <c:ptCount val="8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  <c:pt idx="75">
                  <c:v>2095</c:v>
                </c:pt>
                <c:pt idx="76">
                  <c:v>2096</c:v>
                </c:pt>
                <c:pt idx="77">
                  <c:v>2097</c:v>
                </c:pt>
                <c:pt idx="78">
                  <c:v>2098</c:v>
                </c:pt>
                <c:pt idx="79">
                  <c:v>2099</c:v>
                </c:pt>
                <c:pt idx="80">
                  <c:v>2100</c:v>
                </c:pt>
              </c:numCache>
            </c:numRef>
          </c:xVal>
          <c:yVal>
            <c:numRef>
              <c:f>DECARBONISATION!$R$8:$R$88</c:f>
              <c:numCache>
                <c:formatCode>0.00</c:formatCode>
                <c:ptCount val="8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2.4980525944854404</c:v>
                </c:pt>
                <c:pt idx="6">
                  <c:v>2.4747515605552453</c:v>
                </c:pt>
                <c:pt idx="7">
                  <c:v>2.4525616875239669</c:v>
                </c:pt>
                <c:pt idx="8">
                  <c:v>2.4314210510222591</c:v>
                </c:pt>
                <c:pt idx="9">
                  <c:v>2.4112719273106769</c:v>
                </c:pt>
                <c:pt idx="10">
                  <c:v>2.3920604455847831</c:v>
                </c:pt>
                <c:pt idx="11">
                  <c:v>2.3737362744512018</c:v>
                </c:pt>
                <c:pt idx="12">
                  <c:v>2.3562523387097891</c:v>
                </c:pt>
                <c:pt idx="13">
                  <c:v>2.3395645630687065</c:v>
                </c:pt>
                <c:pt idx="14">
                  <c:v>2.3236316398415702</c:v>
                </c:pt>
                <c:pt idx="15">
                  <c:v>2.3084148180396489</c:v>
                </c:pt>
                <c:pt idx="16">
                  <c:v>2.2938777115862763</c:v>
                </c:pt>
                <c:pt idx="17">
                  <c:v>2.2799861246524906</c:v>
                </c:pt>
                <c:pt idx="18">
                  <c:v>2.2667078923488089</c:v>
                </c:pt>
                <c:pt idx="19">
                  <c:v>2.254012735213097</c:v>
                </c:pt>
                <c:pt idx="20">
                  <c:v>2.2418721261131251</c:v>
                </c:pt>
                <c:pt idx="21">
                  <c:v>2.2302591683384132</c:v>
                </c:pt>
                <c:pt idx="22">
                  <c:v>2.2191484837923872</c:v>
                </c:pt>
                <c:pt idx="23">
                  <c:v>2.2085161103155042</c:v>
                </c:pt>
                <c:pt idx="24">
                  <c:v>2.1983394072750024</c:v>
                </c:pt>
                <c:pt idx="25">
                  <c:v>2.188596968649378</c:v>
                </c:pt>
                <c:pt idx="26">
                  <c:v>2.1792685429171139</c:v>
                </c:pt>
                <c:pt idx="27">
                  <c:v>2.170334959131107</c:v>
                </c:pt>
                <c:pt idx="28">
                  <c:v>2.1617780586238453</c:v>
                </c:pt>
                <c:pt idx="29">
                  <c:v>2.1535806318447164</c:v>
                </c:pt>
                <c:pt idx="30">
                  <c:v>2.1457263598808174</c:v>
                </c:pt>
                <c:pt idx="31">
                  <c:v>2.138199760257077</c:v>
                </c:pt>
                <c:pt idx="32">
                  <c:v>2.1309861366510168</c:v>
                </c:pt>
                <c:pt idx="33">
                  <c:v>2.124071532192727</c:v>
                </c:pt>
                <c:pt idx="34">
                  <c:v>2.1174426860520903</c:v>
                </c:pt>
                <c:pt idx="35">
                  <c:v>2.1110869930434055</c:v>
                </c:pt>
                <c:pt idx="36">
                  <c:v>2.1049924660027077</c:v>
                </c:pt>
                <c:pt idx="37">
                  <c:v>2.0991477007156836</c:v>
                </c:pt>
                <c:pt idx="38">
                  <c:v>2.0935418431942594</c:v>
                </c:pt>
                <c:pt idx="39">
                  <c:v>2.088164559118193</c:v>
                </c:pt>
                <c:pt idx="40">
                  <c:v>2.0830060052743136</c:v>
                </c:pt>
                <c:pt idx="41">
                  <c:v>2.0780568028408295</c:v>
                </c:pt>
                <c:pt idx="42">
                  <c:v>2.0733080123773977</c:v>
                </c:pt>
                <c:pt idx="43">
                  <c:v>2.0687511103936629</c:v>
                </c:pt>
                <c:pt idx="44">
                  <c:v>2.0643779673798135</c:v>
                </c:pt>
                <c:pt idx="45">
                  <c:v>2.0601808271925361</c:v>
                </c:pt>
                <c:pt idx="46">
                  <c:v>2.0561522876986196</c:v>
                </c:pt>
                <c:pt idx="47">
                  <c:v>2.0522852825865572</c:v>
                </c:pt>
                <c:pt idx="48">
                  <c:v>2.0485730642637807</c:v>
                </c:pt>
                <c:pt idx="49">
                  <c:v>2.0450091877638497</c:v>
                </c:pt>
                <c:pt idx="50">
                  <c:v>2.0415874955939404</c:v>
                </c:pt>
                <c:pt idx="51">
                  <c:v>2.0383021034585176</c:v>
                </c:pt>
                <c:pt idx="52">
                  <c:v>2.0351473868000616</c:v>
                </c:pt>
                <c:pt idx="53">
                  <c:v>2.0321179681023458</c:v>
                </c:pt>
                <c:pt idx="54">
                  <c:v>2.0292087049058987</c:v>
                </c:pt>
                <c:pt idx="55">
                  <c:v>2.0264146784891457</c:v>
                </c:pt>
                <c:pt idx="56">
                  <c:v>2.0237311831721994</c:v>
                </c:pt>
                <c:pt idx="57">
                  <c:v>2.0211537162034774</c:v>
                </c:pt>
                <c:pt idx="58">
                  <c:v>2.0186779681922564</c:v>
                </c:pt>
                <c:pt idx="59">
                  <c:v>2.0162998140529753</c:v>
                </c:pt>
                <c:pt idx="60">
                  <c:v>2.014015304429543</c:v>
                </c:pt>
                <c:pt idx="61">
                  <c:v>2.0118206575702073</c:v>
                </c:pt>
                <c:pt idx="62">
                  <c:v>2.009712251625599</c:v>
                </c:pt>
                <c:pt idx="63">
                  <c:v>2.0076866173445014</c:v>
                </c:pt>
                <c:pt idx="64">
                  <c:v>2.0057404311436584</c:v>
                </c:pt>
                <c:pt idx="65">
                  <c:v>2.0038705085295523</c:v>
                </c:pt>
                <c:pt idx="66">
                  <c:v>2.0020737978516094</c:v>
                </c:pt>
                <c:pt idx="67">
                  <c:v>2.0003473743676414</c:v>
                </c:pt>
                <c:pt idx="68">
                  <c:v>1.9986884346036442</c:v>
                </c:pt>
                <c:pt idx="69">
                  <c:v>1.9970942909912412</c:v>
                </c:pt>
                <c:pt idx="70">
                  <c:v>1.9955623667671525</c:v>
                </c:pt>
                <c:pt idx="71">
                  <c:v>1.9940901911200917</c:v>
                </c:pt>
                <c:pt idx="72">
                  <c:v>1.9926753945714208</c:v>
                </c:pt>
                <c:pt idx="73">
                  <c:v>1.9913157045767818</c:v>
                </c:pt>
                <c:pt idx="74">
                  <c:v>1.9900089413366973</c:v>
                </c:pt>
                <c:pt idx="75">
                  <c:v>1.9887530138049192</c:v>
                </c:pt>
                <c:pt idx="76">
                  <c:v>1.9875459158839726</c:v>
                </c:pt>
                <c:pt idx="77">
                  <c:v>1.9863857227979964</c:v>
                </c:pt>
                <c:pt idx="78">
                  <c:v>1.9852705876335932</c:v>
                </c:pt>
                <c:pt idx="79">
                  <c:v>1.9841987380399417</c:v>
                </c:pt>
                <c:pt idx="80">
                  <c:v>1.9831684730799592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15-43E1-9E47-57B7A6593934}"/>
            </c:ext>
          </c:extLst>
        </c:ser>
        <c:ser>
          <c:idx val="0"/>
          <c:order val="2"/>
          <c:tx>
            <c:v>ADAPTATION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ADAPTATION!$A$5:$A$125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ADAPTATION!$L$5:$L$125</c:f>
              <c:numCache>
                <c:formatCode>0.000</c:formatCode>
                <c:ptCount val="12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2.4999999999999996</c:v>
                </c:pt>
                <c:pt idx="19">
                  <c:v>2.4999999999999996</c:v>
                </c:pt>
                <c:pt idx="20">
                  <c:v>2.4999999999999996</c:v>
                </c:pt>
                <c:pt idx="21">
                  <c:v>2.4999999999999996</c:v>
                </c:pt>
                <c:pt idx="22">
                  <c:v>2.4999999999999996</c:v>
                </c:pt>
                <c:pt idx="23">
                  <c:v>2.4999999999999996</c:v>
                </c:pt>
                <c:pt idx="24">
                  <c:v>2.4999999999999991</c:v>
                </c:pt>
                <c:pt idx="25">
                  <c:v>2.4999999999999991</c:v>
                </c:pt>
                <c:pt idx="26">
                  <c:v>2.4999999999999991</c:v>
                </c:pt>
                <c:pt idx="27">
                  <c:v>2.4999999999999991</c:v>
                </c:pt>
                <c:pt idx="28">
                  <c:v>2.4999999999999991</c:v>
                </c:pt>
                <c:pt idx="29">
                  <c:v>2.4999999999999991</c:v>
                </c:pt>
                <c:pt idx="30">
                  <c:v>2.4999999999999991</c:v>
                </c:pt>
                <c:pt idx="31">
                  <c:v>2.4999999999999991</c:v>
                </c:pt>
                <c:pt idx="32">
                  <c:v>2.4999999999999991</c:v>
                </c:pt>
                <c:pt idx="33">
                  <c:v>2.4999999999999991</c:v>
                </c:pt>
                <c:pt idx="34">
                  <c:v>2.4999999999999991</c:v>
                </c:pt>
                <c:pt idx="35">
                  <c:v>2.4999999999999991</c:v>
                </c:pt>
                <c:pt idx="36">
                  <c:v>2.4999999999999991</c:v>
                </c:pt>
                <c:pt idx="37">
                  <c:v>2.4999999999999991</c:v>
                </c:pt>
                <c:pt idx="38">
                  <c:v>2.4999999999999991</c:v>
                </c:pt>
                <c:pt idx="39">
                  <c:v>2.4999999999999991</c:v>
                </c:pt>
                <c:pt idx="40">
                  <c:v>2.4999999999999991</c:v>
                </c:pt>
                <c:pt idx="41">
                  <c:v>2.4999999999999991</c:v>
                </c:pt>
                <c:pt idx="42">
                  <c:v>2.4999999999999991</c:v>
                </c:pt>
                <c:pt idx="43">
                  <c:v>2.4999999999999996</c:v>
                </c:pt>
                <c:pt idx="44">
                  <c:v>2.4984314206103773</c:v>
                </c:pt>
                <c:pt idx="45">
                  <c:v>2.465586981125107</c:v>
                </c:pt>
                <c:pt idx="46">
                  <c:v>2.433222959419703</c:v>
                </c:pt>
                <c:pt idx="47">
                  <c:v>2.4027107024570289</c:v>
                </c:pt>
                <c:pt idx="48">
                  <c:v>2.3751840768684054</c:v>
                </c:pt>
                <c:pt idx="49">
                  <c:v>2.3515119264861903</c:v>
                </c:pt>
                <c:pt idx="50">
                  <c:v>2.3322874036331402</c:v>
                </c:pt>
                <c:pt idx="51">
                  <c:v>2.3178315972299957</c:v>
                </c:pt>
                <c:pt idx="52">
                  <c:v>2.3082091070949882</c:v>
                </c:pt>
                <c:pt idx="53">
                  <c:v>2.3032534440507595</c:v>
                </c:pt>
                <c:pt idx="54">
                  <c:v>2.3026002434405219</c:v>
                </c:pt>
                <c:pt idx="55">
                  <c:v>2.3057262384412325</c:v>
                </c:pt>
                <c:pt idx="56">
                  <c:v>2.3119917990463561</c:v>
                </c:pt>
                <c:pt idx="57">
                  <c:v>2.320684696268887</c:v>
                </c:pt>
                <c:pt idx="58">
                  <c:v>2.3310626999337947</c:v>
                </c:pt>
                <c:pt idx="59">
                  <c:v>2.3423927392293202</c:v>
                </c:pt>
                <c:pt idx="60">
                  <c:v>2.3539846799382667</c:v>
                </c:pt>
                <c:pt idx="61">
                  <c:v>2.3652182816935361</c:v>
                </c:pt>
                <c:pt idx="62">
                  <c:v>2.3755625301026626</c:v>
                </c:pt>
                <c:pt idx="63">
                  <c:v>2.3845872046916474</c:v>
                </c:pt>
                <c:pt idx="64">
                  <c:v>2.3919671545745298</c:v>
                </c:pt>
                <c:pt idx="65">
                  <c:v>2.3974802375368447</c:v>
                </c:pt>
                <c:pt idx="66">
                  <c:v>2.4010001930037208</c:v>
                </c:pt>
                <c:pt idx="67">
                  <c:v>2.4024858565983651</c:v>
                </c:pt>
                <c:pt idx="68">
                  <c:v>2.4019681033459164</c:v>
                </c:pt>
                <c:pt idx="69">
                  <c:v>2.3995357659574621</c:v>
                </c:pt>
                <c:pt idx="70">
                  <c:v>2.3953215590821411</c:v>
                </c:pt>
                <c:pt idx="71">
                  <c:v>2.389488792739753</c:v>
                </c:pt>
                <c:pt idx="72">
                  <c:v>2.3822194128187171</c:v>
                </c:pt>
                <c:pt idx="73">
                  <c:v>2.3737036871139243</c:v>
                </c:pt>
                <c:pt idx="74">
                  <c:v>2.3641316747519157</c:v>
                </c:pt>
                <c:pt idx="75">
                  <c:v>2.3536864790924139</c:v>
                </c:pt>
                <c:pt idx="76">
                  <c:v>2.3425391872323162</c:v>
                </c:pt>
                <c:pt idx="77">
                  <c:v>2.330845337409762</c:v>
                </c:pt>
                <c:pt idx="78">
                  <c:v>2.3187427217575252</c:v>
                </c:pt>
                <c:pt idx="79">
                  <c:v>2.3063503188059058</c:v>
                </c:pt>
                <c:pt idx="80">
                  <c:v>2.2937681515456885</c:v>
                </c:pt>
                <c:pt idx="81">
                  <c:v>2.2810778776208949</c:v>
                </c:pt>
                <c:pt idx="82">
                  <c:v>2.2683439345049123</c:v>
                </c:pt>
                <c:pt idx="83">
                  <c:v>2.2556150816446383</c:v>
                </c:pt>
                <c:pt idx="84">
                  <c:v>2.2429262017746581</c:v>
                </c:pt>
                <c:pt idx="85">
                  <c:v>2.2303002438138066</c:v>
                </c:pt>
                <c:pt idx="86">
                  <c:v>2.2177502093113297</c:v>
                </c:pt>
                <c:pt idx="87">
                  <c:v>2.2052811029295647</c:v>
                </c:pt>
                <c:pt idx="88">
                  <c:v>2.1928917847002882</c:v>
                </c:pt>
                <c:pt idx="89">
                  <c:v>2.1805766776085025</c:v>
                </c:pt>
                <c:pt idx="90">
                  <c:v>2.1683272983095372</c:v>
                </c:pt>
                <c:pt idx="91">
                  <c:v>2.1561335913650193</c:v>
                </c:pt>
                <c:pt idx="92">
                  <c:v>2.1439850582107707</c:v>
                </c:pt>
                <c:pt idx="93">
                  <c:v>2.1318716811041321</c:v>
                </c:pt>
                <c:pt idx="94">
                  <c:v>2.1197846495477366</c:v>
                </c:pt>
                <c:pt idx="95">
                  <c:v>2.1077169022134861</c:v>
                </c:pt>
                <c:pt idx="96">
                  <c:v>2.0956635013091987</c:v>
                </c:pt>
                <c:pt idx="97">
                  <c:v>2.0836218588012105</c:v>
                </c:pt>
                <c:pt idx="98">
                  <c:v>2.0715918351228235</c:v>
                </c:pt>
                <c:pt idx="99">
                  <c:v>2.0595757311740157</c:v>
                </c:pt>
                <c:pt idx="100">
                  <c:v>2.0475781937708071</c:v>
                </c:pt>
                <c:pt idx="101">
                  <c:v>2.0356060534438498</c:v>
                </c:pt>
                <c:pt idx="102">
                  <c:v>2.0236681118085671</c:v>
                </c:pt>
                <c:pt idx="103">
                  <c:v>2.0117748938018809</c:v>
                </c:pt>
                <c:pt idx="104">
                  <c:v>1.9999383780434559</c:v>
                </c:pt>
                <c:pt idx="105">
                  <c:v>1.9881717165429167</c:v>
                </c:pt>
                <c:pt idx="106">
                  <c:v>1.9764889530210981</c:v>
                </c:pt>
                <c:pt idx="107">
                  <c:v>1.964904747299985</c:v>
                </c:pt>
                <c:pt idx="108">
                  <c:v>1.9534341115778631</c:v>
                </c:pt>
                <c:pt idx="109">
                  <c:v>1.9420921629610763</c:v>
                </c:pt>
                <c:pt idx="110">
                  <c:v>1.9308938953758814</c:v>
                </c:pt>
                <c:pt idx="111">
                  <c:v>1.9192512057565601</c:v>
                </c:pt>
                <c:pt idx="112">
                  <c:v>1.9071122604280435</c:v>
                </c:pt>
                <c:pt idx="113">
                  <c:v>1.8946315536808529</c:v>
                </c:pt>
                <c:pt idx="114">
                  <c:v>1.8819336157839099</c:v>
                </c:pt>
                <c:pt idx="115">
                  <c:v>1.8691189187063864</c:v>
                </c:pt>
                <c:pt idx="116">
                  <c:v>1.8562685195503803</c:v>
                </c:pt>
                <c:pt idx="117">
                  <c:v>1.8434477367602466</c:v>
                </c:pt>
                <c:pt idx="118">
                  <c:v>1.8307090790620935</c:v>
                </c:pt>
                <c:pt idx="119">
                  <c:v>1.8180945926488048</c:v>
                </c:pt>
                <c:pt idx="120">
                  <c:v>1.8056377522545093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F8-4485-BF23-70D3DB2E8F09}"/>
            </c:ext>
          </c:extLst>
        </c:ser>
        <c:ser>
          <c:idx val="1"/>
          <c:order val="3"/>
          <c:tx>
            <c:v>EFFICIENCY</c:v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EFFICIENCY!$Q$6:$Q$126</c:f>
              <c:numCache>
                <c:formatCode>0.000</c:formatCode>
                <c:ptCount val="121"/>
                <c:pt idx="0">
                  <c:v>2.484601973643719</c:v>
                </c:pt>
                <c:pt idx="1">
                  <c:v>2.484601973643719</c:v>
                </c:pt>
                <c:pt idx="2">
                  <c:v>2.4846019736437199</c:v>
                </c:pt>
                <c:pt idx="3">
                  <c:v>2.4846019736437204</c:v>
                </c:pt>
                <c:pt idx="4">
                  <c:v>2.4846019736437195</c:v>
                </c:pt>
                <c:pt idx="5">
                  <c:v>2.4846019736437195</c:v>
                </c:pt>
                <c:pt idx="6">
                  <c:v>2.4846019736437199</c:v>
                </c:pt>
                <c:pt idx="7">
                  <c:v>2.4846019736437195</c:v>
                </c:pt>
                <c:pt idx="8">
                  <c:v>2.4846019736437199</c:v>
                </c:pt>
                <c:pt idx="9">
                  <c:v>2.484601973643719</c:v>
                </c:pt>
                <c:pt idx="10">
                  <c:v>2.4846019736437182</c:v>
                </c:pt>
                <c:pt idx="11">
                  <c:v>2.484601973643719</c:v>
                </c:pt>
                <c:pt idx="12">
                  <c:v>2.4846019736437195</c:v>
                </c:pt>
                <c:pt idx="13">
                  <c:v>2.4846019736437199</c:v>
                </c:pt>
                <c:pt idx="14">
                  <c:v>2.4846019736437195</c:v>
                </c:pt>
                <c:pt idx="15">
                  <c:v>2.4846019736437199</c:v>
                </c:pt>
                <c:pt idx="16">
                  <c:v>2.4846019736437204</c:v>
                </c:pt>
                <c:pt idx="17">
                  <c:v>2.4846019736437199</c:v>
                </c:pt>
                <c:pt idx="18">
                  <c:v>2.484601973643719</c:v>
                </c:pt>
                <c:pt idx="19">
                  <c:v>2.484601973643719</c:v>
                </c:pt>
                <c:pt idx="20">
                  <c:v>2.4846019736437199</c:v>
                </c:pt>
                <c:pt idx="21">
                  <c:v>2.4846019736437204</c:v>
                </c:pt>
                <c:pt idx="22">
                  <c:v>2.4846019736437182</c:v>
                </c:pt>
                <c:pt idx="23">
                  <c:v>2.4846019736437186</c:v>
                </c:pt>
                <c:pt idx="24">
                  <c:v>2.4846019736437199</c:v>
                </c:pt>
                <c:pt idx="25">
                  <c:v>2.4846019736437204</c:v>
                </c:pt>
                <c:pt idx="26">
                  <c:v>2.4846019736437195</c:v>
                </c:pt>
                <c:pt idx="27">
                  <c:v>2.4846019736437199</c:v>
                </c:pt>
                <c:pt idx="28">
                  <c:v>2.484601973643719</c:v>
                </c:pt>
                <c:pt idx="29">
                  <c:v>2.4846019736437204</c:v>
                </c:pt>
                <c:pt idx="30">
                  <c:v>2.4846019736437199</c:v>
                </c:pt>
                <c:pt idx="31">
                  <c:v>2.4846019736437199</c:v>
                </c:pt>
                <c:pt idx="32">
                  <c:v>2.484601973643719</c:v>
                </c:pt>
                <c:pt idx="33">
                  <c:v>2.4846019736437204</c:v>
                </c:pt>
                <c:pt idx="34">
                  <c:v>2.4846019736437199</c:v>
                </c:pt>
                <c:pt idx="35">
                  <c:v>2.4846019736437195</c:v>
                </c:pt>
                <c:pt idx="36">
                  <c:v>2.4846019736437186</c:v>
                </c:pt>
                <c:pt idx="37">
                  <c:v>2.4846019736437199</c:v>
                </c:pt>
                <c:pt idx="38">
                  <c:v>2.4846019736437199</c:v>
                </c:pt>
                <c:pt idx="39">
                  <c:v>2.4846019736437199</c:v>
                </c:pt>
                <c:pt idx="40">
                  <c:v>2.5263057110987215</c:v>
                </c:pt>
                <c:pt idx="41">
                  <c:v>2.563483330691203</c:v>
                </c:pt>
                <c:pt idx="42">
                  <c:v>2.5966151051984596</c:v>
                </c:pt>
                <c:pt idx="43">
                  <c:v>2.6261366778604924</c:v>
                </c:pt>
                <c:pt idx="44">
                  <c:v>2.6524414348352341</c:v>
                </c:pt>
                <c:pt idx="45">
                  <c:v>2.6735680578000998</c:v>
                </c:pt>
                <c:pt idx="46">
                  <c:v>2.663635779691679</c:v>
                </c:pt>
                <c:pt idx="47">
                  <c:v>2.6513365550338999</c:v>
                </c:pt>
                <c:pt idx="48">
                  <c:v>2.6369826875114226</c:v>
                </c:pt>
                <c:pt idx="49">
                  <c:v>2.6208490064181982</c:v>
                </c:pt>
                <c:pt idx="50">
                  <c:v>2.6031771363587151</c:v>
                </c:pt>
                <c:pt idx="51">
                  <c:v>2.5841793734448206</c:v>
                </c:pt>
                <c:pt idx="52">
                  <c:v>2.5640421782780005</c:v>
                </c:pt>
                <c:pt idx="53">
                  <c:v>2.5429293041333025</c:v>
                </c:pt>
                <c:pt idx="54">
                  <c:v>2.5209845838324534</c:v>
                </c:pt>
                <c:pt idx="55">
                  <c:v>2.4983344015707765</c:v>
                </c:pt>
                <c:pt idx="56">
                  <c:v>2.4750898770625103</c:v>
                </c:pt>
                <c:pt idx="57">
                  <c:v>2.4513487892798929</c:v>
                </c:pt>
                <c:pt idx="58">
                  <c:v>2.4271972661614973</c:v>
                </c:pt>
                <c:pt idx="59">
                  <c:v>2.4027112652417051</c:v>
                </c:pt>
                <c:pt idx="60">
                  <c:v>2.3779578684196818</c:v>
                </c:pt>
                <c:pt idx="61">
                  <c:v>2.3529964121982401</c:v>
                </c:pt>
                <c:pt idx="62">
                  <c:v>2.3278794727907615</c:v>
                </c:pt>
                <c:pt idx="63">
                  <c:v>2.302653723593878</c:v>
                </c:pt>
                <c:pt idx="64">
                  <c:v>2.2773606807047302</c:v>
                </c:pt>
                <c:pt idx="65">
                  <c:v>2.2520373504550979</c:v>
                </c:pt>
                <c:pt idx="66">
                  <c:v>2.2267167913575068</c:v>
                </c:pt>
                <c:pt idx="67">
                  <c:v>2.2014286014176827</c:v>
                </c:pt>
                <c:pt idx="68">
                  <c:v>2.1761993404634552</c:v>
                </c:pt>
                <c:pt idx="69">
                  <c:v>2.1510528959685775</c:v>
                </c:pt>
                <c:pt idx="70">
                  <c:v>2.1260107998033346</c:v>
                </c:pt>
                <c:pt idx="71">
                  <c:v>2.1010925024137479</c:v>
                </c:pt>
                <c:pt idx="72">
                  <c:v>2.0763156101079918</c:v>
                </c:pt>
                <c:pt idx="73">
                  <c:v>2.0516960904024306</c:v>
                </c:pt>
                <c:pt idx="74">
                  <c:v>2.0272484497408025</c:v>
                </c:pt>
                <c:pt idx="75">
                  <c:v>2.0029858873394857</c:v>
                </c:pt>
                <c:pt idx="76">
                  <c:v>1.9789204284206672</c:v>
                </c:pt>
                <c:pt idx="77">
                  <c:v>1.9550630396658424</c:v>
                </c:pt>
                <c:pt idx="78">
                  <c:v>1.9314237293470369</c:v>
                </c:pt>
                <c:pt idx="79">
                  <c:v>1.9080116342660554</c:v>
                </c:pt>
                <c:pt idx="80">
                  <c:v>1.8848350953470767</c:v>
                </c:pt>
                <c:pt idx="81">
                  <c:v>1.8619017234796873</c:v>
                </c:pt>
                <c:pt idx="82">
                  <c:v>1.8392184569935977</c:v>
                </c:pt>
                <c:pt idx="83">
                  <c:v>1.8167916119585024</c:v>
                </c:pt>
                <c:pt idx="84">
                  <c:v>1.7946269263394339</c:v>
                </c:pt>
                <c:pt idx="85">
                  <c:v>1.7727295988961933</c:v>
                </c:pt>
                <c:pt idx="86">
                  <c:v>1.7511043235924988</c:v>
                </c:pt>
                <c:pt idx="87">
                  <c:v>1.7297553201736067</c:v>
                </c:pt>
                <c:pt idx="88">
                  <c:v>1.7086863614786287</c:v>
                </c:pt>
                <c:pt idx="89">
                  <c:v>1.6879007979734488</c:v>
                </c:pt>
                <c:pt idx="90">
                  <c:v>1.6674015799205346</c:v>
                </c:pt>
                <c:pt idx="91">
                  <c:v>1.6471912775416682</c:v>
                </c:pt>
                <c:pt idx="92">
                  <c:v>1.6272720994775132</c:v>
                </c:pt>
                <c:pt idx="93">
                  <c:v>1.6076459098027363</c:v>
                </c:pt>
                <c:pt idx="94">
                  <c:v>1.5883142438164732</c:v>
                </c:pt>
                <c:pt idx="95">
                  <c:v>1.5692783227942255</c:v>
                </c:pt>
                <c:pt idx="96">
                  <c:v>1.5505390678582682</c:v>
                </c:pt>
                <c:pt idx="97">
                  <c:v>1.5320971130986591</c:v>
                </c:pt>
                <c:pt idx="98">
                  <c:v>1.5139528180553647</c:v>
                </c:pt>
                <c:pt idx="99">
                  <c:v>1.4961062796536779</c:v>
                </c:pt>
                <c:pt idx="100">
                  <c:v>1.4785573436691797</c:v>
                </c:pt>
                <c:pt idx="101">
                  <c:v>1.4613056157850397</c:v>
                </c:pt>
                <c:pt idx="102">
                  <c:v>1.4443504722929226</c:v>
                </c:pt>
                <c:pt idx="103">
                  <c:v>1.4276910704789592</c:v>
                </c:pt>
                <c:pt idx="104">
                  <c:v>1.4113263587279941</c:v>
                </c:pt>
                <c:pt idx="105">
                  <c:v>1.3952550863722606</c:v>
                </c:pt>
                <c:pt idx="106">
                  <c:v>1.379475813304907</c:v>
                </c:pt>
                <c:pt idx="107">
                  <c:v>1.3639869193737379</c:v>
                </c:pt>
                <c:pt idx="108">
                  <c:v>1.3487866135666768</c:v>
                </c:pt>
                <c:pt idx="109">
                  <c:v>1.33387294299699</c:v>
                </c:pt>
                <c:pt idx="110">
                  <c:v>1.3192438016937249</c:v>
                </c:pt>
                <c:pt idx="111">
                  <c:v>1.3048969392005767</c:v>
                </c:pt>
                <c:pt idx="112">
                  <c:v>1.2908299689847591</c:v>
                </c:pt>
                <c:pt idx="113">
                  <c:v>1.2770403766561069</c:v>
                </c:pt>
                <c:pt idx="114">
                  <c:v>1.2635255279956712</c:v>
                </c:pt>
                <c:pt idx="115">
                  <c:v>1.2502826767923669</c:v>
                </c:pt>
                <c:pt idx="116">
                  <c:v>1.2373089724857627</c:v>
                </c:pt>
                <c:pt idx="117">
                  <c:v>1.2246014676128427</c:v>
                </c:pt>
                <c:pt idx="118">
                  <c:v>1.21215712505645</c:v>
                </c:pt>
                <c:pt idx="119">
                  <c:v>1.1999728250931456</c:v>
                </c:pt>
                <c:pt idx="120">
                  <c:v>1.188045372238377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F8-4485-BF23-70D3DB2E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20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ROI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4676480657309"/>
          <c:y val="4.0963278381743067E-2"/>
          <c:w val="0.683054052695515"/>
          <c:h val="0.80889968501414766"/>
        </c:manualLayout>
      </c:layout>
      <c:scatterChart>
        <c:scatterStyle val="smoothMarker"/>
        <c:varyColors val="0"/>
        <c:ser>
          <c:idx val="0"/>
          <c:order val="0"/>
          <c:tx>
            <c:v>GDP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DATA!$B$8:$B$51</c:f>
              <c:numCache>
                <c:formatCode>0.00</c:formatCode>
                <c:ptCount val="44"/>
                <c:pt idx="0">
                  <c:v>26.511446683671263</c:v>
                </c:pt>
                <c:pt idx="1">
                  <c:v>27.025717448256849</c:v>
                </c:pt>
                <c:pt idx="2">
                  <c:v>27.121769087858539</c:v>
                </c:pt>
                <c:pt idx="3">
                  <c:v>27.835686731305941</c:v>
                </c:pt>
                <c:pt idx="4">
                  <c:v>29.137190529551003</c:v>
                </c:pt>
                <c:pt idx="5">
                  <c:v>30.217686857429626</c:v>
                </c:pt>
                <c:pt idx="6">
                  <c:v>31.194806052548806</c:v>
                </c:pt>
                <c:pt idx="7">
                  <c:v>32.365674666546987</c:v>
                </c:pt>
                <c:pt idx="8">
                  <c:v>33.837965658467418</c:v>
                </c:pt>
                <c:pt idx="9">
                  <c:v>35.098144557839838</c:v>
                </c:pt>
                <c:pt idx="10">
                  <c:v>36.053259768502322</c:v>
                </c:pt>
                <c:pt idx="11">
                  <c:v>36.489757004345506</c:v>
                </c:pt>
                <c:pt idx="12">
                  <c:v>37.227704048250182</c:v>
                </c:pt>
                <c:pt idx="13">
                  <c:v>37.912860557311717</c:v>
                </c:pt>
                <c:pt idx="14">
                  <c:v>39.180033495170335</c:v>
                </c:pt>
                <c:pt idx="15">
                  <c:v>40.393665990713885</c:v>
                </c:pt>
                <c:pt idx="16">
                  <c:v>41.840682592167603</c:v>
                </c:pt>
                <c:pt idx="17">
                  <c:v>43.494798274841926</c:v>
                </c:pt>
                <c:pt idx="18">
                  <c:v>44.731408554893612</c:v>
                </c:pt>
                <c:pt idx="19">
                  <c:v>46.336851678223788</c:v>
                </c:pt>
                <c:pt idx="20">
                  <c:v>48.437263200387974</c:v>
                </c:pt>
                <c:pt idx="21">
                  <c:v>49.422295421127075</c:v>
                </c:pt>
                <c:pt idx="22">
                  <c:v>50.567138353080395</c:v>
                </c:pt>
                <c:pt idx="23">
                  <c:v>52.13151818762136</c:v>
                </c:pt>
                <c:pt idx="24">
                  <c:v>54.463866515800866</c:v>
                </c:pt>
                <c:pt idx="25">
                  <c:v>56.65357944388542</c:v>
                </c:pt>
                <c:pt idx="26">
                  <c:v>59.180664984371901</c:v>
                </c:pt>
                <c:pt idx="27">
                  <c:v>61.768752251196396</c:v>
                </c:pt>
                <c:pt idx="28">
                  <c:v>63.038812186080818</c:v>
                </c:pt>
                <c:pt idx="29">
                  <c:v>62.192598074458644</c:v>
                </c:pt>
                <c:pt idx="30">
                  <c:v>65.00210544872121</c:v>
                </c:pt>
                <c:pt idx="31">
                  <c:v>67.170761718394303</c:v>
                </c:pt>
                <c:pt idx="32">
                  <c:v>68.978972328520314</c:v>
                </c:pt>
                <c:pt idx="33">
                  <c:v>70.960627147647529</c:v>
                </c:pt>
                <c:pt idx="34">
                  <c:v>73.182741848317406</c:v>
                </c:pt>
                <c:pt idx="35">
                  <c:v>75.472473882835061</c:v>
                </c:pt>
                <c:pt idx="36">
                  <c:v>77.596070030857177</c:v>
                </c:pt>
                <c:pt idx="37">
                  <c:v>80.274256581671864</c:v>
                </c:pt>
                <c:pt idx="38">
                  <c:v>82.909015820695814</c:v>
                </c:pt>
                <c:pt idx="39">
                  <c:v>85.12763313750078</c:v>
                </c:pt>
                <c:pt idx="40">
                  <c:v>82.677384726296424</c:v>
                </c:pt>
                <c:pt idx="41">
                  <c:v>87.92747271584517</c:v>
                </c:pt>
                <c:pt idx="42">
                  <c:v>90.77458297753877</c:v>
                </c:pt>
                <c:pt idx="43">
                  <c:v>93.346688686736911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00-4CF2-B526-F9BBAEF761D9}"/>
            </c:ext>
          </c:extLst>
        </c:ser>
        <c:ser>
          <c:idx val="1"/>
          <c:order val="1"/>
          <c:tx>
            <c:v>PEU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12838548322820903"/>
                  <c:y val="-1.80607338612587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orbel Light" panose="020B0303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DATA!$D$8:$D$51</c:f>
              <c:numCache>
                <c:formatCode>0.00</c:formatCode>
                <c:ptCount val="44"/>
                <c:pt idx="0">
                  <c:v>9.4979638794520547</c:v>
                </c:pt>
                <c:pt idx="1">
                  <c:v>9.434757639611874</c:v>
                </c:pt>
                <c:pt idx="2">
                  <c:v>9.3791245831050229</c:v>
                </c:pt>
                <c:pt idx="3">
                  <c:v>9.498235795085618</c:v>
                </c:pt>
                <c:pt idx="4">
                  <c:v>9.8510991483638133</c:v>
                </c:pt>
                <c:pt idx="5">
                  <c:v>10.057262663662099</c:v>
                </c:pt>
                <c:pt idx="6">
                  <c:v>10.254161425246346</c:v>
                </c:pt>
                <c:pt idx="7">
                  <c:v>10.586004990844749</c:v>
                </c:pt>
                <c:pt idx="8">
                  <c:v>10.930764278739725</c:v>
                </c:pt>
                <c:pt idx="9">
                  <c:v>11.136978904102738</c:v>
                </c:pt>
                <c:pt idx="10">
                  <c:v>11.244678570839042</c:v>
                </c:pt>
                <c:pt idx="11">
                  <c:v>11.314408671221461</c:v>
                </c:pt>
                <c:pt idx="12">
                  <c:v>11.388725460742009</c:v>
                </c:pt>
                <c:pt idx="13">
                  <c:v>11.446730667408675</c:v>
                </c:pt>
                <c:pt idx="14">
                  <c:v>11.590707136860731</c:v>
                </c:pt>
                <c:pt idx="15">
                  <c:v>11.802474493808218</c:v>
                </c:pt>
                <c:pt idx="16">
                  <c:v>12.124782881958904</c:v>
                </c:pt>
                <c:pt idx="17">
                  <c:v>12.251299937420091</c:v>
                </c:pt>
                <c:pt idx="18">
                  <c:v>12.321624528767122</c:v>
                </c:pt>
                <c:pt idx="19">
                  <c:v>12.523212296335617</c:v>
                </c:pt>
                <c:pt idx="20">
                  <c:v>12.842047652865297</c:v>
                </c:pt>
                <c:pt idx="21">
                  <c:v>12.972955124942924</c:v>
                </c:pt>
                <c:pt idx="22">
                  <c:v>13.224755605205479</c:v>
                </c:pt>
                <c:pt idx="23">
                  <c:v>13.683238458561645</c:v>
                </c:pt>
                <c:pt idx="24">
                  <c:v>14.275667452682649</c:v>
                </c:pt>
                <c:pt idx="25">
                  <c:v>14.720310269349316</c:v>
                </c:pt>
                <c:pt idx="26">
                  <c:v>15.094469614805934</c:v>
                </c:pt>
                <c:pt idx="27">
                  <c:v>15.544277458105023</c:v>
                </c:pt>
                <c:pt idx="28">
                  <c:v>15.67870726369863</c:v>
                </c:pt>
                <c:pt idx="29">
                  <c:v>15.422635928652968</c:v>
                </c:pt>
                <c:pt idx="30">
                  <c:v>16.09105307477169</c:v>
                </c:pt>
                <c:pt idx="31">
                  <c:v>16.440876147260273</c:v>
                </c:pt>
                <c:pt idx="32">
                  <c:v>16.644203033105022</c:v>
                </c:pt>
                <c:pt idx="33">
                  <c:v>16.866861292237441</c:v>
                </c:pt>
                <c:pt idx="34">
                  <c:v>16.98540617351598</c:v>
                </c:pt>
                <c:pt idx="35">
                  <c:v>17.067272062785385</c:v>
                </c:pt>
                <c:pt idx="36">
                  <c:v>17.186529674657532</c:v>
                </c:pt>
                <c:pt idx="37">
                  <c:v>17.538717388127854</c:v>
                </c:pt>
                <c:pt idx="38">
                  <c:v>17.946756575342466</c:v>
                </c:pt>
                <c:pt idx="39">
                  <c:v>18.077844371004563</c:v>
                </c:pt>
                <c:pt idx="40">
                  <c:v>17.367425844748858</c:v>
                </c:pt>
                <c:pt idx="41">
                  <c:v>18.192969920091322</c:v>
                </c:pt>
                <c:pt idx="42">
                  <c:v>18.458537819634703</c:v>
                </c:pt>
                <c:pt idx="43">
                  <c:v>18.765450644977172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00-4CF2-B526-F9BBAEF761D9}"/>
            </c:ext>
          </c:extLst>
        </c:ser>
        <c:ser>
          <c:idx val="2"/>
          <c:order val="2"/>
          <c:tx>
            <c:v>GCE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orbel Light" panose="020B0303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DATA!$I$8:$I$51</c:f>
              <c:numCache>
                <c:formatCode>0.00</c:formatCode>
                <c:ptCount val="44"/>
                <c:pt idx="0">
                  <c:v>5.3150519999999997</c:v>
                </c:pt>
                <c:pt idx="1">
                  <c:v>5.1880644545454544</c:v>
                </c:pt>
                <c:pt idx="2">
                  <c:v>5.1466628181818184</c:v>
                </c:pt>
                <c:pt idx="3">
                  <c:v>5.1796118181818178</c:v>
                </c:pt>
                <c:pt idx="4">
                  <c:v>5.3584911818181808</c:v>
                </c:pt>
                <c:pt idx="5">
                  <c:v>5.539609636363636</c:v>
                </c:pt>
                <c:pt idx="6">
                  <c:v>5.6222626363636357</c:v>
                </c:pt>
                <c:pt idx="7">
                  <c:v>5.7954749999999997</c:v>
                </c:pt>
                <c:pt idx="8">
                  <c:v>6.0232172727272717</c:v>
                </c:pt>
                <c:pt idx="9">
                  <c:v>6.1054464545454543</c:v>
                </c:pt>
                <c:pt idx="10">
                  <c:v>6.1988151818181807</c:v>
                </c:pt>
                <c:pt idx="11">
                  <c:v>6.3234823636363631</c:v>
                </c:pt>
                <c:pt idx="12">
                  <c:v>6.1440469090909087</c:v>
                </c:pt>
                <c:pt idx="13">
                  <c:v>6.2061237272727272</c:v>
                </c:pt>
                <c:pt idx="14">
                  <c:v>6.2708037272727273</c:v>
                </c:pt>
                <c:pt idx="15">
                  <c:v>6.4178408181818183</c:v>
                </c:pt>
                <c:pt idx="16">
                  <c:v>6.6158642727272721</c:v>
                </c:pt>
                <c:pt idx="17">
                  <c:v>6.6550652727272723</c:v>
                </c:pt>
                <c:pt idx="18">
                  <c:v>6.6283030909090899</c:v>
                </c:pt>
                <c:pt idx="19">
                  <c:v>6.7782899999999993</c:v>
                </c:pt>
                <c:pt idx="20">
                  <c:v>6.9574238181818178</c:v>
                </c:pt>
                <c:pt idx="21">
                  <c:v>7.0108071818181807</c:v>
                </c:pt>
                <c:pt idx="22">
                  <c:v>7.1664190909090904</c:v>
                </c:pt>
                <c:pt idx="23">
                  <c:v>7.5462245454545451</c:v>
                </c:pt>
                <c:pt idx="24">
                  <c:v>7.8088652727272718</c:v>
                </c:pt>
                <c:pt idx="25">
                  <c:v>8.0766531818181804</c:v>
                </c:pt>
                <c:pt idx="26">
                  <c:v>8.3531991818181819</c:v>
                </c:pt>
                <c:pt idx="27">
                  <c:v>8.6003577272727263</c:v>
                </c:pt>
                <c:pt idx="28">
                  <c:v>8.7475090909090909</c:v>
                </c:pt>
                <c:pt idx="29">
                  <c:v>8.6023423636363621</c:v>
                </c:pt>
                <c:pt idx="30">
                  <c:v>9.0970644545454533</c:v>
                </c:pt>
                <c:pt idx="31">
                  <c:v>9.4103290909090909</c:v>
                </c:pt>
                <c:pt idx="32">
                  <c:v>9.5454600000000003</c:v>
                </c:pt>
                <c:pt idx="33">
                  <c:v>9.6277240909090906</c:v>
                </c:pt>
                <c:pt idx="34">
                  <c:v>9.6682074545454544</c:v>
                </c:pt>
                <c:pt idx="35">
                  <c:v>9.6558818181818182</c:v>
                </c:pt>
                <c:pt idx="36">
                  <c:v>9.6590885454545443</c:v>
                </c:pt>
                <c:pt idx="37">
                  <c:v>9.8154264545454541</c:v>
                </c:pt>
                <c:pt idx="38">
                  <c:v>10.017388636363636</c:v>
                </c:pt>
                <c:pt idx="39">
                  <c:v>10.119347727272727</c:v>
                </c:pt>
                <c:pt idx="40">
                  <c:v>9.5799616363636364</c:v>
                </c:pt>
                <c:pt idx="41">
                  <c:v>10.088654727272726</c:v>
                </c:pt>
                <c:pt idx="42">
                  <c:v>10.171045636363637</c:v>
                </c:pt>
                <c:pt idx="43">
                  <c:v>10.306791818181818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400-4CF2-B526-F9BBAEF7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030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10"/>
      </c:valAx>
      <c:valAx>
        <c:axId val="548227104"/>
        <c:scaling>
          <c:logBase val="10"/>
          <c:orientation val="minMax"/>
          <c:max val="140"/>
          <c:min val="2"/>
        </c:scaling>
        <c:delete val="0"/>
        <c:axPos val="l"/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7869703135779"/>
          <c:y val="5.7764617029708892E-2"/>
          <c:w val="0.683054052695515"/>
          <c:h val="0.80889968501414766"/>
        </c:manualLayout>
      </c:layout>
      <c:scatterChart>
        <c:scatterStyle val="smooth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intercept val="0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6.3693800588764463E-2"/>
                  <c:y val="-6.62344557357680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orbel Light" panose="020B0303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DATA!$J$8:$J$51</c:f>
              <c:numCache>
                <c:formatCode>0.00</c:formatCode>
                <c:ptCount val="44"/>
                <c:pt idx="0">
                  <c:v>283.517</c:v>
                </c:pt>
                <c:pt idx="1">
                  <c:v>290.20506445454544</c:v>
                </c:pt>
                <c:pt idx="2">
                  <c:v>296.85172727272726</c:v>
                </c:pt>
                <c:pt idx="3">
                  <c:v>303.53133909090906</c:v>
                </c:pt>
                <c:pt idx="4">
                  <c:v>310.38983027272724</c:v>
                </c:pt>
                <c:pt idx="5">
                  <c:v>317.42943990909089</c:v>
                </c:pt>
                <c:pt idx="6">
                  <c:v>324.55170254545453</c:v>
                </c:pt>
                <c:pt idx="7">
                  <c:v>331.84717754545454</c:v>
                </c:pt>
                <c:pt idx="8">
                  <c:v>339.37039481818181</c:v>
                </c:pt>
                <c:pt idx="9">
                  <c:v>346.97584127272728</c:v>
                </c:pt>
                <c:pt idx="10">
                  <c:v>354.67465645454547</c:v>
                </c:pt>
                <c:pt idx="11">
                  <c:v>362.49813881818181</c:v>
                </c:pt>
                <c:pt idx="12">
                  <c:v>370.1421857272727</c:v>
                </c:pt>
                <c:pt idx="13">
                  <c:v>377.84830945454542</c:v>
                </c:pt>
                <c:pt idx="14">
                  <c:v>385.61911318181814</c:v>
                </c:pt>
                <c:pt idx="15">
                  <c:v>393.53695399999998</c:v>
                </c:pt>
                <c:pt idx="16">
                  <c:v>401.65281827272725</c:v>
                </c:pt>
                <c:pt idx="17">
                  <c:v>409.8078835454545</c:v>
                </c:pt>
                <c:pt idx="18">
                  <c:v>417.93618663636357</c:v>
                </c:pt>
                <c:pt idx="19">
                  <c:v>426.2144766363636</c:v>
                </c:pt>
                <c:pt idx="20">
                  <c:v>434.67190045454544</c:v>
                </c:pt>
                <c:pt idx="21">
                  <c:v>443.1827076363636</c:v>
                </c:pt>
                <c:pt idx="22">
                  <c:v>451.84912672727268</c:v>
                </c:pt>
                <c:pt idx="23">
                  <c:v>460.89535127272723</c:v>
                </c:pt>
                <c:pt idx="24">
                  <c:v>470.20421654545447</c:v>
                </c:pt>
                <c:pt idx="25">
                  <c:v>479.78086972727266</c:v>
                </c:pt>
                <c:pt idx="26">
                  <c:v>489.63406890909084</c:v>
                </c:pt>
                <c:pt idx="27">
                  <c:v>499.73442663636359</c:v>
                </c:pt>
                <c:pt idx="28">
                  <c:v>509.98193572727268</c:v>
                </c:pt>
                <c:pt idx="29">
                  <c:v>520.08427809090904</c:v>
                </c:pt>
                <c:pt idx="30">
                  <c:v>530.68134254545453</c:v>
                </c:pt>
                <c:pt idx="31">
                  <c:v>541.59167163636357</c:v>
                </c:pt>
                <c:pt idx="32">
                  <c:v>552.63713163636362</c:v>
                </c:pt>
                <c:pt idx="33">
                  <c:v>563.76485572727267</c:v>
                </c:pt>
                <c:pt idx="34">
                  <c:v>574.93306318181817</c:v>
                </c:pt>
                <c:pt idx="35">
                  <c:v>586.08894499999997</c:v>
                </c:pt>
                <c:pt idx="36">
                  <c:v>597.24803354545452</c:v>
                </c:pt>
                <c:pt idx="37">
                  <c:v>608.56345999999996</c:v>
                </c:pt>
                <c:pt idx="38">
                  <c:v>620.08084863636361</c:v>
                </c:pt>
                <c:pt idx="39">
                  <c:v>631.70019636363634</c:v>
                </c:pt>
                <c:pt idx="40">
                  <c:v>642.78015800000003</c:v>
                </c:pt>
                <c:pt idx="41">
                  <c:v>654.36881272727271</c:v>
                </c:pt>
                <c:pt idx="42">
                  <c:v>666.03985836363631</c:v>
                </c:pt>
                <c:pt idx="43">
                  <c:v>677.84665018181818</c:v>
                </c:pt>
              </c:numCache>
            </c:numRef>
          </c:xVal>
          <c:yVal>
            <c:numRef>
              <c:f>DATA!$H$8:$H$51</c:f>
              <c:numCache>
                <c:formatCode>0.000</c:formatCode>
                <c:ptCount val="44"/>
                <c:pt idx="0">
                  <c:v>0.73609999999999998</c:v>
                </c:pt>
                <c:pt idx="1">
                  <c:v>0.79</c:v>
                </c:pt>
                <c:pt idx="2">
                  <c:v>0.57430000000000003</c:v>
                </c:pt>
                <c:pt idx="3">
                  <c:v>0.76380000000000003</c:v>
                </c:pt>
                <c:pt idx="4">
                  <c:v>0.58800000000000008</c:v>
                </c:pt>
                <c:pt idx="5">
                  <c:v>0.5897</c:v>
                </c:pt>
                <c:pt idx="6">
                  <c:v>0.63570000000000004</c:v>
                </c:pt>
                <c:pt idx="7">
                  <c:v>0.78300000000000003</c:v>
                </c:pt>
                <c:pt idx="8">
                  <c:v>0.82220000000000004</c:v>
                </c:pt>
                <c:pt idx="9">
                  <c:v>0.71930000000000005</c:v>
                </c:pt>
                <c:pt idx="10">
                  <c:v>0.90060000000000007</c:v>
                </c:pt>
                <c:pt idx="11">
                  <c:v>0.87890000000000001</c:v>
                </c:pt>
                <c:pt idx="12">
                  <c:v>0.66490000000000005</c:v>
                </c:pt>
                <c:pt idx="13">
                  <c:v>0.70569999999999999</c:v>
                </c:pt>
                <c:pt idx="14">
                  <c:v>0.77350000000000008</c:v>
                </c:pt>
                <c:pt idx="15">
                  <c:v>0.91690000000000005</c:v>
                </c:pt>
                <c:pt idx="16">
                  <c:v>0.81669999999999998</c:v>
                </c:pt>
                <c:pt idx="17">
                  <c:v>0.96230000000000004</c:v>
                </c:pt>
                <c:pt idx="18">
                  <c:v>1.1173000000000002</c:v>
                </c:pt>
                <c:pt idx="19">
                  <c:v>0.86450000000000005</c:v>
                </c:pt>
                <c:pt idx="20">
                  <c:v>0.87109999999999999</c:v>
                </c:pt>
                <c:pt idx="21">
                  <c:v>1.0293000000000001</c:v>
                </c:pt>
                <c:pt idx="22">
                  <c:v>1.0834999999999999</c:v>
                </c:pt>
                <c:pt idx="23">
                  <c:v>1.0842000000000001</c:v>
                </c:pt>
                <c:pt idx="24">
                  <c:v>1.0074000000000001</c:v>
                </c:pt>
                <c:pt idx="25">
                  <c:v>1.1469</c:v>
                </c:pt>
                <c:pt idx="26">
                  <c:v>1.1126</c:v>
                </c:pt>
                <c:pt idx="27">
                  <c:v>1.1316999999999999</c:v>
                </c:pt>
                <c:pt idx="28">
                  <c:v>1.0056</c:v>
                </c:pt>
                <c:pt idx="29">
                  <c:v>1.1368</c:v>
                </c:pt>
                <c:pt idx="30">
                  <c:v>1.2204000000000002</c:v>
                </c:pt>
                <c:pt idx="31">
                  <c:v>1.0777000000000001</c:v>
                </c:pt>
                <c:pt idx="32">
                  <c:v>1.1175999999999999</c:v>
                </c:pt>
                <c:pt idx="33">
                  <c:v>1.1636000000000002</c:v>
                </c:pt>
                <c:pt idx="34">
                  <c:v>1.2129000000000001</c:v>
                </c:pt>
                <c:pt idx="35">
                  <c:v>1.3651</c:v>
                </c:pt>
                <c:pt idx="36">
                  <c:v>1.4729000000000001</c:v>
                </c:pt>
                <c:pt idx="37">
                  <c:v>1.3852</c:v>
                </c:pt>
                <c:pt idx="38">
                  <c:v>1.3027000000000002</c:v>
                </c:pt>
                <c:pt idx="39">
                  <c:v>1.4311</c:v>
                </c:pt>
                <c:pt idx="40">
                  <c:v>1.4629000000000001</c:v>
                </c:pt>
                <c:pt idx="41">
                  <c:v>1.3019000000000001</c:v>
                </c:pt>
                <c:pt idx="42">
                  <c:v>1.3412999999999999</c:v>
                </c:pt>
                <c:pt idx="43">
                  <c:v>1.6403000000000001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B8-4B8C-9A8E-17E8489A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1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CUMULATIVE EMISSIONS  (GtC)</a:t>
                </a:r>
              </a:p>
            </c:rich>
          </c:tx>
          <c:layout>
            <c:manualLayout>
              <c:xMode val="edge"/>
              <c:yMode val="edge"/>
              <c:x val="0.28638778025743522"/>
              <c:y val="0.94224106602059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100"/>
      </c:valAx>
      <c:valAx>
        <c:axId val="548227104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GMST change (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°C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EFFICIENCY!$K$6:$K$126</c:f>
              <c:numCache>
                <c:formatCode>0.0000</c:formatCode>
                <c:ptCount val="121"/>
                <c:pt idx="0">
                  <c:v>27.951772203491839</c:v>
                </c:pt>
                <c:pt idx="1">
                  <c:v>28.779995718594332</c:v>
                </c:pt>
                <c:pt idx="2">
                  <c:v>29.632759866969572</c:v>
                </c:pt>
                <c:pt idx="3">
                  <c:v>30.510791798560081</c:v>
                </c:pt>
                <c:pt idx="4">
                  <c:v>31.414840209086506</c:v>
                </c:pt>
                <c:pt idx="5">
                  <c:v>32.345675978458672</c:v>
                </c:pt>
                <c:pt idx="6">
                  <c:v>33.304092828102974</c:v>
                </c:pt>
                <c:pt idx="7">
                  <c:v>34.290907997766716</c:v>
                </c:pt>
                <c:pt idx="8">
                  <c:v>35.306962942376593</c:v>
                </c:pt>
                <c:pt idx="9">
                  <c:v>36.353124049545151</c:v>
                </c:pt>
                <c:pt idx="10">
                  <c:v>37.430283378337542</c:v>
                </c:pt>
                <c:pt idx="11">
                  <c:v>38.539359419928097</c:v>
                </c:pt>
                <c:pt idx="12">
                  <c:v>39.681297880795498</c:v>
                </c:pt>
                <c:pt idx="13">
                  <c:v>40.857072489124491</c:v>
                </c:pt>
                <c:pt idx="14">
                  <c:v>42.067685825101549</c:v>
                </c:pt>
                <c:pt idx="15">
                  <c:v>43.31417017581262</c:v>
                </c:pt>
                <c:pt idx="16">
                  <c:v>44.597588415471783</c:v>
                </c:pt>
                <c:pt idx="17">
                  <c:v>45.919034911731586</c:v>
                </c:pt>
                <c:pt idx="18">
                  <c:v>47.279636458847698</c:v>
                </c:pt>
                <c:pt idx="19">
                  <c:v>48.680553238493715</c:v>
                </c:pt>
                <c:pt idx="20">
                  <c:v>50.122979809045233</c:v>
                </c:pt>
                <c:pt idx="21">
                  <c:v>51.608146124176876</c:v>
                </c:pt>
                <c:pt idx="22">
                  <c:v>53.137318581640891</c:v>
                </c:pt>
                <c:pt idx="23">
                  <c:v>54.711801103121594</c:v>
                </c:pt>
                <c:pt idx="24">
                  <c:v>56.332936246086028</c:v>
                </c:pt>
                <c:pt idx="25">
                  <c:v>58.002106348579559</c:v>
                </c:pt>
                <c:pt idx="26">
                  <c:v>59.720734707942327</c:v>
                </c:pt>
                <c:pt idx="27">
                  <c:v>61.490286794451414</c:v>
                </c:pt>
                <c:pt idx="28">
                  <c:v>63.312271500923742</c:v>
                </c:pt>
                <c:pt idx="29">
                  <c:v>65.18824242934555</c:v>
                </c:pt>
                <c:pt idx="30">
                  <c:v>67.119799215624809</c:v>
                </c:pt>
                <c:pt idx="31">
                  <c:v>69.108588893597144</c:v>
                </c:pt>
                <c:pt idx="32">
                  <c:v>71.156307299447533</c:v>
                </c:pt>
                <c:pt idx="33">
                  <c:v>73.264700517745908</c:v>
                </c:pt>
                <c:pt idx="34">
                  <c:v>75.4355663703289</c:v>
                </c:pt>
                <c:pt idx="35">
                  <c:v>77.670755949298652</c:v>
                </c:pt>
                <c:pt idx="36">
                  <c:v>79.972175195444308</c:v>
                </c:pt>
                <c:pt idx="37">
                  <c:v>82.341786523433385</c:v>
                </c:pt>
                <c:pt idx="38">
                  <c:v>84.781610495157722</c:v>
                </c:pt>
                <c:pt idx="39">
                  <c:v>87.293727542662083</c:v>
                </c:pt>
                <c:pt idx="40">
                  <c:v>91.388909143737607</c:v>
                </c:pt>
                <c:pt idx="41">
                  <c:v>95.574367077017257</c:v>
                </c:pt>
                <c:pt idx="42">
                  <c:v>99.861406966919205</c:v>
                </c:pt>
                <c:pt idx="43">
                  <c:v>104.2608467028621</c:v>
                </c:pt>
                <c:pt idx="44">
                  <c:v>108.7831214352889</c:v>
                </c:pt>
                <c:pt idx="45">
                  <c:v>113.43837392488139</c:v>
                </c:pt>
                <c:pt idx="46">
                  <c:v>118.23358527160222</c:v>
                </c:pt>
                <c:pt idx="47">
                  <c:v>123.14016468771931</c:v>
                </c:pt>
                <c:pt idx="48">
                  <c:v>128.16211938822761</c:v>
                </c:pt>
                <c:pt idx="49">
                  <c:v>133.30302107118783</c:v>
                </c:pt>
                <c:pt idx="50">
                  <c:v>138.56602081055024</c:v>
                </c:pt>
                <c:pt idx="51">
                  <c:v>143.9538596116063</c:v>
                </c:pt>
                <c:pt idx="52">
                  <c:v>149.46887524517234</c:v>
                </c:pt>
                <c:pt idx="53">
                  <c:v>155.11300588537662</c:v>
                </c:pt>
                <c:pt idx="54">
                  <c:v>160.88779100343316</c:v>
                </c:pt>
                <c:pt idx="55">
                  <c:v>166.79436991209161</c:v>
                </c:pt>
                <c:pt idx="56">
                  <c:v>172.83347830954267</c:v>
                </c:pt>
                <c:pt idx="57">
                  <c:v>179.00544313504392</c:v>
                </c:pt>
                <c:pt idx="58">
                  <c:v>185.31017601958391</c:v>
                </c:pt>
                <c:pt idx="59">
                  <c:v>191.74716559202793</c:v>
                </c:pt>
                <c:pt idx="60">
                  <c:v>198.31546888321981</c:v>
                </c:pt>
                <c:pt idx="61">
                  <c:v>205.01370205649172</c:v>
                </c:pt>
                <c:pt idx="62">
                  <c:v>211.8400306821672</c:v>
                </c:pt>
                <c:pt idx="63">
                  <c:v>218.79215976528326</c:v>
                </c:pt>
                <c:pt idx="64">
                  <c:v>225.86732372936518</c:v>
                </c:pt>
                <c:pt idx="65">
                  <c:v>233.062276554178</c:v>
                </c:pt>
                <c:pt idx="66">
                  <c:v>240.37328226156387</c:v>
                </c:pt>
                <c:pt idx="67">
                  <c:v>247.79610594040511</c:v>
                </c:pt>
                <c:pt idx="68">
                  <c:v>255.32600549909054</c:v>
                </c:pt>
                <c:pt idx="69">
                  <c:v>262.95772433137432</c:v>
                </c:pt>
                <c:pt idx="70">
                  <c:v>270.68548507890625</c:v>
                </c:pt>
                <c:pt idx="71">
                  <c:v>278.50298467077846</c:v>
                </c:pt>
                <c:pt idx="72">
                  <c:v>286.4033908169726</c:v>
                </c:pt>
                <c:pt idx="73">
                  <c:v>294.37934012839884</c:v>
                </c:pt>
                <c:pt idx="74">
                  <c:v>302.42293803112966</c:v>
                </c:pt>
                <c:pt idx="75">
                  <c:v>310.52576063630761</c:v>
                </c:pt>
                <c:pt idx="76">
                  <c:v>318.67885871988926</c:v>
                </c:pt>
                <c:pt idx="77">
                  <c:v>326.87276395778287</c:v>
                </c:pt>
                <c:pt idx="78">
                  <c:v>335.09749755192001</c:v>
                </c:pt>
                <c:pt idx="79">
                  <c:v>343.34258137131621</c:v>
                </c:pt>
                <c:pt idx="80">
                  <c:v>351.59705171915664</c:v>
                </c:pt>
                <c:pt idx="81">
                  <c:v>359.84947582233707</c:v>
                </c:pt>
                <c:pt idx="82">
                  <c:v>368.08797112372059</c:v>
                </c:pt>
                <c:pt idx="83">
                  <c:v>376.30022743960723</c:v>
                </c:pt>
                <c:pt idx="84">
                  <c:v>384.47353202563983</c:v>
                </c:pt>
                <c:pt idx="85">
                  <c:v>392.59479757360293</c:v>
                </c:pt>
                <c:pt idx="86">
                  <c:v>400.65059313946483</c:v>
                </c:pt>
                <c:pt idx="87">
                  <c:v>408.62717797961386</c:v>
                </c:pt>
                <c:pt idx="88">
                  <c:v>416.51053824777887</c:v>
                </c:pt>
                <c:pt idx="89">
                  <c:v>424.28642647971452</c:v>
                </c:pt>
                <c:pt idx="90">
                  <c:v>431.94040376661428</c:v>
                </c:pt>
                <c:pt idx="91">
                  <c:v>439.45788449160062</c:v>
                </c:pt>
                <c:pt idx="92">
                  <c:v>446.82418347681659</c:v>
                </c:pt>
                <c:pt idx="93">
                  <c:v>454.02456536183246</c:v>
                </c:pt>
                <c:pt idx="94">
                  <c:v>461.04429600763154</c:v>
                </c:pt>
                <c:pt idx="95">
                  <c:v>467.86869569462829</c:v>
                </c:pt>
                <c:pt idx="96">
                  <c:v>474.48319385833292</c:v>
                </c:pt>
                <c:pt idx="97">
                  <c:v>480.87338508274388</c:v>
                </c:pt>
                <c:pt idx="98">
                  <c:v>487.02508604961349</c:v>
                </c:pt>
                <c:pt idx="99">
                  <c:v>492.92439312181125</c:v>
                </c:pt>
                <c:pt idx="100">
                  <c:v>498.55774022129151</c:v>
                </c:pt>
                <c:pt idx="101">
                  <c:v>503.91195664708533</c:v>
                </c:pt>
                <c:pt idx="102">
                  <c:v>508.97432446649469</c:v>
                </c:pt>
                <c:pt idx="103">
                  <c:v>513.73263510354082</c:v>
                </c:pt>
                <c:pt idx="104">
                  <c:v>518.17524474296329</c:v>
                </c:pt>
                <c:pt idx="105">
                  <c:v>522.29112816582381</c:v>
                </c:pt>
                <c:pt idx="106">
                  <c:v>526.06993063428627</c:v>
                </c:pt>
                <c:pt idx="107">
                  <c:v>529.5020174483617</c:v>
                </c:pt>
                <c:pt idx="108">
                  <c:v>532.57852080662383</c:v>
                </c:pt>
                <c:pt idx="109">
                  <c:v>535.29138361585888</c:v>
                </c:pt>
                <c:pt idx="110">
                  <c:v>537.63339991149769</c:v>
                </c:pt>
                <c:pt idx="111">
                  <c:v>539.59825157122555</c:v>
                </c:pt>
                <c:pt idx="112">
                  <c:v>541.18054102833219</c:v>
                </c:pt>
                <c:pt idx="113">
                  <c:v>542.37581971886425</c:v>
                </c:pt>
                <c:pt idx="114">
                  <c:v>543.18061202727381</c:v>
                </c:pt>
                <c:pt idx="115">
                  <c:v>543.59243452867963</c:v>
                </c:pt>
                <c:pt idx="116">
                  <c:v>543.60981036172802</c:v>
                </c:pt>
                <c:pt idx="117">
                  <c:v>543.23227860398254</c:v>
                </c:pt>
                <c:pt idx="118">
                  <c:v>542.46039856132097</c:v>
                </c:pt>
                <c:pt idx="119">
                  <c:v>541.29574892357527</c:v>
                </c:pt>
                <c:pt idx="120">
                  <c:v>539.74092178009698</c:v>
                </c:pt>
              </c:numCache>
            </c:numRef>
          </c:xVal>
          <c:yVal>
            <c:numRef>
              <c:f>EFFICIENCY!$U$6:$U$126</c:f>
              <c:numCache>
                <c:formatCode>0.00</c:formatCode>
                <c:ptCount val="121"/>
                <c:pt idx="0">
                  <c:v>375</c:v>
                </c:pt>
                <c:pt idx="1">
                  <c:v>386.11141776279345</c:v>
                </c:pt>
                <c:pt idx="2">
                  <c:v>397.55207180478516</c:v>
                </c:pt>
                <c:pt idx="3">
                  <c:v>409.33171754421727</c:v>
                </c:pt>
                <c:pt idx="4">
                  <c:v>421.4603994567388</c:v>
                </c:pt>
                <c:pt idx="5">
                  <c:v>433.94845964030583</c:v>
                </c:pt>
                <c:pt idx="6">
                  <c:v>446.80654663386366</c:v>
                </c:pt>
                <c:pt idx="7">
                  <c:v>460.0456244973301</c:v>
                </c:pt>
                <c:pt idx="8">
                  <c:v>473.67698216062354</c:v>
                </c:pt>
                <c:pt idx="9">
                  <c:v>487.71224304970616</c:v>
                </c:pt>
                <c:pt idx="10">
                  <c:v>502.16337499785107</c:v>
                </c:pt>
                <c:pt idx="11">
                  <c:v>517.04270045058558</c:v>
                </c:pt>
                <c:pt idx="12">
                  <c:v>532.36290697301058</c:v>
                </c:pt>
                <c:pt idx="13">
                  <c:v>548.13705806845667</c:v>
                </c:pt>
                <c:pt idx="14">
                  <c:v>564.37860431770252</c:v>
                </c:pt>
                <c:pt idx="15">
                  <c:v>581.10139484825277</c:v>
                </c:pt>
                <c:pt idx="16">
                  <c:v>598.31968914345521</c:v>
                </c:pt>
                <c:pt idx="17">
                  <c:v>616.04816920152905</c:v>
                </c:pt>
                <c:pt idx="18">
                  <c:v>634.30195205486848</c:v>
                </c:pt>
                <c:pt idx="19">
                  <c:v>653.0966026603005</c:v>
                </c:pt>
                <c:pt idx="20">
                  <c:v>672.44814717128645</c:v>
                </c:pt>
                <c:pt idx="21">
                  <c:v>692.37308660338408</c:v>
                </c:pt>
                <c:pt idx="22">
                  <c:v>712.88841090462415</c:v>
                </c:pt>
                <c:pt idx="23">
                  <c:v>734.01161344279808</c:v>
                </c:pt>
                <c:pt idx="24">
                  <c:v>755.76070592201154</c:v>
                </c:pt>
                <c:pt idx="25">
                  <c:v>778.15423374121997</c:v>
                </c:pt>
                <c:pt idx="26">
                  <c:v>801.21129180784703</c:v>
                </c:pt>
                <c:pt idx="27">
                  <c:v>824.95154081996543</c:v>
                </c:pt>
                <c:pt idx="28">
                  <c:v>849.39522403092747</c:v>
                </c:pt>
                <c:pt idx="29">
                  <c:v>874.56318451073867</c:v>
                </c:pt>
                <c:pt idx="30">
                  <c:v>900.47688291889312</c:v>
                </c:pt>
                <c:pt idx="31">
                  <c:v>927.15841580382619</c:v>
                </c:pt>
                <c:pt idx="32">
                  <c:v>954.6305344445891</c:v>
                </c:pt>
                <c:pt idx="33">
                  <c:v>982.91666425080962</c:v>
                </c:pt>
                <c:pt idx="34">
                  <c:v>1012.0409247374821</c:v>
                </c:pt>
                <c:pt idx="35">
                  <c:v>1042.0281500916208</c:v>
                </c:pt>
                <c:pt idx="36">
                  <c:v>1072.903910348311</c:v>
                </c:pt>
                <c:pt idx="37">
                  <c:v>1104.694533194217</c:v>
                </c:pt>
                <c:pt idx="38">
                  <c:v>1137.4271264171373</c:v>
                </c:pt>
                <c:pt idx="39">
                  <c:v>1171.1296010207493</c:v>
                </c:pt>
                <c:pt idx="40">
                  <c:v>1205.8306950242566</c:v>
                </c:pt>
                <c:pt idx="41">
                  <c:v>1242.7669014885191</c:v>
                </c:pt>
                <c:pt idx="42">
                  <c:v>1281.9433881054772</c:v>
                </c:pt>
                <c:pt idx="43">
                  <c:v>1323.3742120358484</c:v>
                </c:pt>
                <c:pt idx="44">
                  <c:v>1367.0816630370625</c:v>
                </c:pt>
                <c:pt idx="45">
                  <c:v>1413.0957102941818</c:v>
                </c:pt>
                <c:pt idx="46">
                  <c:v>1461.4168278889579</c:v>
                </c:pt>
                <c:pt idx="47">
                  <c:v>1511.6156509489215</c:v>
                </c:pt>
                <c:pt idx="48">
                  <c:v>1563.6832208218348</c:v>
                </c:pt>
                <c:pt idx="49">
                  <c:v>1617.6111109450721</c:v>
                </c:pt>
                <c:pt idx="50">
                  <c:v>1673.3909940411143</c:v>
                </c:pt>
                <c:pt idx="51">
                  <c:v>1731.0142325424545</c:v>
                </c:pt>
                <c:pt idx="52">
                  <c:v>1790.4714891695137</c:v>
                </c:pt>
                <c:pt idx="53">
                  <c:v>1851.7523551633285</c:v>
                </c:pt>
                <c:pt idx="54">
                  <c:v>1914.8449941715553</c:v>
                </c:pt>
                <c:pt idx="55">
                  <c:v>1979.7358002172973</c:v>
                </c:pt>
                <c:pt idx="56">
                  <c:v>2046.4090685575723</c:v>
                </c:pt>
                <c:pt idx="57">
                  <c:v>2114.8466785714172</c:v>
                </c:pt>
                <c:pt idx="58">
                  <c:v>2185.0277881141251</c:v>
                </c:pt>
                <c:pt idx="59">
                  <c:v>2256.9285390397881</c:v>
                </c:pt>
                <c:pt idx="60">
                  <c:v>2330.5217738336869</c:v>
                </c:pt>
                <c:pt idx="61">
                  <c:v>2405.7767635126502</c:v>
                </c:pt>
                <c:pt idx="62">
                  <c:v>2482.6589471479524</c:v>
                </c:pt>
                <c:pt idx="63">
                  <c:v>2561.1296835435724</c:v>
                </c:pt>
                <c:pt idx="64">
                  <c:v>2641.1460157641586</c:v>
                </c:pt>
                <c:pt idx="65">
                  <c:v>2722.6604493526929</c:v>
                </c:pt>
                <c:pt idx="66">
                  <c:v>2805.6207452082435</c:v>
                </c:pt>
                <c:pt idx="67">
                  <c:v>2889.9697282095199</c:v>
                </c:pt>
                <c:pt idx="68">
                  <c:v>2975.645112770183</c:v>
                </c:pt>
                <c:pt idx="69">
                  <c:v>3062.5793465967818</c:v>
                </c:pt>
                <c:pt idx="70">
                  <c:v>3150.6994739893362</c:v>
                </c:pt>
                <c:pt idx="71">
                  <c:v>3239.9270200774599</c:v>
                </c:pt>
                <c:pt idx="72">
                  <c:v>3330.1778974208792</c:v>
                </c:pt>
                <c:pt idx="73">
                  <c:v>3421.3623364215046</c:v>
                </c:pt>
                <c:pt idx="74">
                  <c:v>3513.3848409942534</c:v>
                </c:pt>
                <c:pt idx="75">
                  <c:v>3606.1441709247542</c:v>
                </c:pt>
                <c:pt idx="76">
                  <c:v>3699.5333523033923</c:v>
                </c:pt>
                <c:pt idx="77">
                  <c:v>3793.4397173661237</c:v>
                </c:pt>
                <c:pt idx="78">
                  <c:v>3887.7449749927796</c:v>
                </c:pt>
                <c:pt idx="79">
                  <c:v>3982.3253130127068</c:v>
                </c:pt>
                <c:pt idx="80">
                  <c:v>4077.0515333454969</c:v>
                </c:pt>
                <c:pt idx="81">
                  <c:v>4171.7892208611383</c:v>
                </c:pt>
                <c:pt idx="82">
                  <c:v>4266.3989466795065</c:v>
                </c:pt>
                <c:pt idx="83">
                  <c:v>4360.7365064440783</c:v>
                </c:pt>
                <c:pt idx="84">
                  <c:v>4454.6531938999069</c:v>
                </c:pt>
                <c:pt idx="85">
                  <c:v>4547.9961098821605</c:v>
                </c:pt>
                <c:pt idx="86">
                  <c:v>4640.608506580299</c:v>
                </c:pt>
                <c:pt idx="87">
                  <c:v>4732.3301666857105</c:v>
                </c:pt>
                <c:pt idx="88">
                  <c:v>4822.9978167593963</c:v>
                </c:pt>
                <c:pt idx="89">
                  <c:v>4912.4455738731385</c:v>
                </c:pt>
                <c:pt idx="90">
                  <c:v>5000.5054242851256</c:v>
                </c:pt>
                <c:pt idx="91">
                  <c:v>5087.0077326119736</c:v>
                </c:pt>
                <c:pt idx="92">
                  <c:v>5171.7817796564577</c:v>
                </c:pt>
                <c:pt idx="93">
                  <c:v>5254.6563267475067</c:v>
                </c:pt>
                <c:pt idx="94">
                  <c:v>5335.4602041493654</c:v>
                </c:pt>
                <c:pt idx="95">
                  <c:v>5414.0229208041901</c:v>
                </c:pt>
                <c:pt idx="96">
                  <c:v>5490.1752923902932</c:v>
                </c:pt>
                <c:pt idx="97">
                  <c:v>5563.7500844107581</c:v>
                </c:pt>
                <c:pt idx="98">
                  <c:v>5634.5826667780548</c:v>
                </c:pt>
                <c:pt idx="99">
                  <c:v>5702.511676133352</c:v>
                </c:pt>
                <c:pt idx="100">
                  <c:v>5767.3796819383078</c:v>
                </c:pt>
                <c:pt idx="101">
                  <c:v>5829.0338522056099</c:v>
                </c:pt>
                <c:pt idx="102">
                  <c:v>5887.3266145959351</c:v>
                </c:pt>
                <c:pt idx="103">
                  <c:v>5942.1163085061671</c:v>
                </c:pt>
                <c:pt idx="104">
                  <c:v>5993.2678237094669</c:v>
                </c:pt>
                <c:pt idx="105">
                  <c:v>6040.6532210842943</c:v>
                </c:pt>
                <c:pt idx="106">
                  <c:v>6084.1523309885324</c:v>
                </c:pt>
                <c:pt idx="107">
                  <c:v>6123.6533248977757</c:v>
                </c:pt>
                <c:pt idx="108">
                  <c:v>6159.0532560342581</c:v>
                </c:pt>
                <c:pt idx="109">
                  <c:v>6190.2585648649638</c:v>
                </c:pt>
                <c:pt idx="110">
                  <c:v>6217.1855455435989</c:v>
                </c:pt>
                <c:pt idx="111">
                  <c:v>6239.760769610356</c:v>
                </c:pt>
                <c:pt idx="112">
                  <c:v>6257.9214635437111</c:v>
                </c:pt>
                <c:pt idx="113">
                  <c:v>6271.6158370777994</c:v>
                </c:pt>
                <c:pt idx="114">
                  <c:v>6280.8033595539582</c:v>
                </c:pt>
                <c:pt idx="115">
                  <c:v>6285.4549819624644</c:v>
                </c:pt>
                <c:pt idx="116">
                  <c:v>6285.5533027461388</c:v>
                </c:pt>
                <c:pt idx="117">
                  <c:v>6281.0926758768783</c:v>
                </c:pt>
                <c:pt idx="118">
                  <c:v>6272.0792601743688</c:v>
                </c:pt>
                <c:pt idx="119">
                  <c:v>6258.5310093080443</c:v>
                </c:pt>
                <c:pt idx="120">
                  <c:v>6240.477602403178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6E-4A11-83A4-69C95F3D4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826256"/>
        <c:axId val="898827216"/>
      </c:scatterChart>
      <c:valAx>
        <c:axId val="89882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27216"/>
        <c:crosses val="autoZero"/>
        <c:crossBetween val="midCat"/>
      </c:valAx>
      <c:valAx>
        <c:axId val="8988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2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GROSS WORLD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0.13155786561162613"/>
          <c:w val="0.683054052695515"/>
          <c:h val="0.74650220446582105"/>
        </c:manualLayout>
      </c:layout>
      <c:scatterChart>
        <c:scatterStyle val="smoothMarker"/>
        <c:varyColors val="0"/>
        <c:ser>
          <c:idx val="0"/>
          <c:order val="0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DATA!$A$8:$A$47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xVal>
          <c:yVal>
            <c:numRef>
              <c:f>DATA!$B$8:$B$47</c:f>
              <c:numCache>
                <c:formatCode>0.00</c:formatCode>
                <c:ptCount val="40"/>
                <c:pt idx="0">
                  <c:v>26.511446683671263</c:v>
                </c:pt>
                <c:pt idx="1">
                  <c:v>27.025717448256849</c:v>
                </c:pt>
                <c:pt idx="2">
                  <c:v>27.121769087858539</c:v>
                </c:pt>
                <c:pt idx="3">
                  <c:v>27.835686731305941</c:v>
                </c:pt>
                <c:pt idx="4">
                  <c:v>29.137190529551003</c:v>
                </c:pt>
                <c:pt idx="5">
                  <c:v>30.217686857429626</c:v>
                </c:pt>
                <c:pt idx="6">
                  <c:v>31.194806052548806</c:v>
                </c:pt>
                <c:pt idx="7">
                  <c:v>32.365674666546987</c:v>
                </c:pt>
                <c:pt idx="8">
                  <c:v>33.837965658467418</c:v>
                </c:pt>
                <c:pt idx="9">
                  <c:v>35.098144557839838</c:v>
                </c:pt>
                <c:pt idx="10">
                  <c:v>36.053259768502322</c:v>
                </c:pt>
                <c:pt idx="11">
                  <c:v>36.489757004345506</c:v>
                </c:pt>
                <c:pt idx="12">
                  <c:v>37.227704048250182</c:v>
                </c:pt>
                <c:pt idx="13">
                  <c:v>37.912860557311717</c:v>
                </c:pt>
                <c:pt idx="14">
                  <c:v>39.180033495170335</c:v>
                </c:pt>
                <c:pt idx="15">
                  <c:v>40.393665990713885</c:v>
                </c:pt>
                <c:pt idx="16">
                  <c:v>41.840682592167603</c:v>
                </c:pt>
                <c:pt idx="17">
                  <c:v>43.494798274841926</c:v>
                </c:pt>
                <c:pt idx="18">
                  <c:v>44.731408554893612</c:v>
                </c:pt>
                <c:pt idx="19">
                  <c:v>46.336851678223788</c:v>
                </c:pt>
                <c:pt idx="20">
                  <c:v>48.437263200387974</c:v>
                </c:pt>
                <c:pt idx="21">
                  <c:v>49.422295421127075</c:v>
                </c:pt>
                <c:pt idx="22">
                  <c:v>50.567138353080395</c:v>
                </c:pt>
                <c:pt idx="23">
                  <c:v>52.13151818762136</c:v>
                </c:pt>
                <c:pt idx="24">
                  <c:v>54.463866515800866</c:v>
                </c:pt>
                <c:pt idx="25">
                  <c:v>56.65357944388542</c:v>
                </c:pt>
                <c:pt idx="26">
                  <c:v>59.180664984371901</c:v>
                </c:pt>
                <c:pt idx="27">
                  <c:v>61.768752251196396</c:v>
                </c:pt>
                <c:pt idx="28">
                  <c:v>63.038812186080818</c:v>
                </c:pt>
                <c:pt idx="29">
                  <c:v>62.192598074458644</c:v>
                </c:pt>
                <c:pt idx="30">
                  <c:v>65.00210544872121</c:v>
                </c:pt>
                <c:pt idx="31">
                  <c:v>67.170761718394303</c:v>
                </c:pt>
                <c:pt idx="32">
                  <c:v>68.978972328520314</c:v>
                </c:pt>
                <c:pt idx="33">
                  <c:v>70.960627147647529</c:v>
                </c:pt>
                <c:pt idx="34">
                  <c:v>73.182741848317406</c:v>
                </c:pt>
                <c:pt idx="35">
                  <c:v>75.472473882835061</c:v>
                </c:pt>
                <c:pt idx="36">
                  <c:v>77.596070030857177</c:v>
                </c:pt>
                <c:pt idx="37">
                  <c:v>80.274256581671864</c:v>
                </c:pt>
                <c:pt idx="38">
                  <c:v>82.909015820695814</c:v>
                </c:pt>
                <c:pt idx="39">
                  <c:v>85.12763313750078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DB-43A2-B862-091A3F130BB8}"/>
            </c:ext>
          </c:extLst>
        </c:ser>
        <c:ser>
          <c:idx val="2"/>
          <c:order val="1"/>
          <c:tx>
            <c:v>BAU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BAU!$A$5:$A$125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BAU!$C$5:$C$126</c:f>
              <c:numCache>
                <c:formatCode>0</c:formatCode>
                <c:ptCount val="122"/>
                <c:pt idx="0">
                  <c:v>28.125</c:v>
                </c:pt>
                <c:pt idx="1">
                  <c:v>28.96875</c:v>
                </c:pt>
                <c:pt idx="2">
                  <c:v>29.837812500000002</c:v>
                </c:pt>
                <c:pt idx="3">
                  <c:v>30.732946875</c:v>
                </c:pt>
                <c:pt idx="4">
                  <c:v>31.654935281250001</c:v>
                </c:pt>
                <c:pt idx="5">
                  <c:v>32.604583339687501</c:v>
                </c:pt>
                <c:pt idx="6">
                  <c:v>33.582720839878121</c:v>
                </c:pt>
                <c:pt idx="7">
                  <c:v>34.590202465074469</c:v>
                </c:pt>
                <c:pt idx="8">
                  <c:v>35.627908539026706</c:v>
                </c:pt>
                <c:pt idx="9">
                  <c:v>36.696745795197501</c:v>
                </c:pt>
                <c:pt idx="10">
                  <c:v>37.797648169053424</c:v>
                </c:pt>
                <c:pt idx="11">
                  <c:v>38.931577614125025</c:v>
                </c:pt>
                <c:pt idx="12">
                  <c:v>40.099524942548769</c:v>
                </c:pt>
                <c:pt idx="13">
                  <c:v>41.302510690825223</c:v>
                </c:pt>
                <c:pt idx="14">
                  <c:v>42.541586011549974</c:v>
                </c:pt>
                <c:pt idx="15">
                  <c:v>43.817833591896481</c:v>
                </c:pt>
                <c:pt idx="16">
                  <c:v>45.132368599653375</c:v>
                </c:pt>
                <c:pt idx="17">
                  <c:v>46.486339657642979</c:v>
                </c:pt>
                <c:pt idx="18">
                  <c:v>47.880929847372265</c:v>
                </c:pt>
                <c:pt idx="19">
                  <c:v>49.31735774279344</c:v>
                </c:pt>
                <c:pt idx="20">
                  <c:v>50.796878475077243</c:v>
                </c:pt>
                <c:pt idx="21">
                  <c:v>52.320784829329561</c:v>
                </c:pt>
                <c:pt idx="22">
                  <c:v>53.89040837420945</c:v>
                </c:pt>
                <c:pt idx="23">
                  <c:v>55.507120625435739</c:v>
                </c:pt>
                <c:pt idx="24">
                  <c:v>57.172334244198815</c:v>
                </c:pt>
                <c:pt idx="25">
                  <c:v>58.887504271524783</c:v>
                </c:pt>
                <c:pt idx="26">
                  <c:v>60.654129399670524</c:v>
                </c:pt>
                <c:pt idx="27">
                  <c:v>62.473753281660635</c:v>
                </c:pt>
                <c:pt idx="28">
                  <c:v>64.347965880110451</c:v>
                </c:pt>
                <c:pt idx="29">
                  <c:v>66.27840485651376</c:v>
                </c:pt>
                <c:pt idx="30">
                  <c:v>68.266757002209175</c:v>
                </c:pt>
                <c:pt idx="31">
                  <c:v>70.31475971227546</c:v>
                </c:pt>
                <c:pt idx="32">
                  <c:v>72.424202503643727</c:v>
                </c:pt>
                <c:pt idx="33">
                  <c:v>74.596928578753037</c:v>
                </c:pt>
                <c:pt idx="34">
                  <c:v>76.834836436115623</c:v>
                </c:pt>
                <c:pt idx="35">
                  <c:v>79.139881529199087</c:v>
                </c:pt>
                <c:pt idx="36">
                  <c:v>81.514077975075054</c:v>
                </c:pt>
                <c:pt idx="37">
                  <c:v>83.959500314327315</c:v>
                </c:pt>
                <c:pt idx="38">
                  <c:v>86.478285323757135</c:v>
                </c:pt>
                <c:pt idx="39">
                  <c:v>89.072633883469848</c:v>
                </c:pt>
                <c:pt idx="40">
                  <c:v>91.744812899973951</c:v>
                </c:pt>
                <c:pt idx="41">
                  <c:v>94.497157286973177</c:v>
                </c:pt>
                <c:pt idx="42">
                  <c:v>97.332072005582376</c:v>
                </c:pt>
                <c:pt idx="43">
                  <c:v>100.25203416574985</c:v>
                </c:pt>
                <c:pt idx="44">
                  <c:v>103.25959519072235</c:v>
                </c:pt>
                <c:pt idx="45">
                  <c:v>106.35543817569679</c:v>
                </c:pt>
                <c:pt idx="46">
                  <c:v>109.5015681725198</c:v>
                </c:pt>
                <c:pt idx="47">
                  <c:v>112.69636699452955</c:v>
                </c:pt>
                <c:pt idx="48">
                  <c:v>115.93805467199853</c:v>
                </c:pt>
                <c:pt idx="49">
                  <c:v>119.22468607954346</c:v>
                </c:pt>
                <c:pt idx="50">
                  <c:v>122.55414796075584</c:v>
                </c:pt>
                <c:pt idx="51">
                  <c:v>125.92415638781466</c:v>
                </c:pt>
                <c:pt idx="52">
                  <c:v>129.33225469390291</c:v>
                </c:pt>
                <c:pt idx="53">
                  <c:v>132.77581191605267</c:v>
                </c:pt>
                <c:pt idx="54">
                  <c:v>136.25202178557146</c:v>
                </c:pt>
                <c:pt idx="55">
                  <c:v>139.75790230243885</c:v>
                </c:pt>
                <c:pt idx="56">
                  <c:v>143.2902959289905</c:v>
                </c:pt>
                <c:pt idx="57">
                  <c:v>146.84587043681151</c:v>
                </c:pt>
                <c:pt idx="58">
                  <c:v>150.42112043903322</c:v>
                </c:pt>
                <c:pt idx="59">
                  <c:v>154.01236963815302</c:v>
                </c:pt>
                <c:pt idx="60">
                  <c:v>157.61577381707309</c:v>
                </c:pt>
                <c:pt idx="61">
                  <c:v>161.2273245982725</c:v>
                </c:pt>
                <c:pt idx="62">
                  <c:v>164.8428539928907</c:v>
                </c:pt>
                <c:pt idx="63">
                  <c:v>168.45803975800894</c:v>
                </c:pt>
                <c:pt idx="64">
                  <c:v>172.06841157657794</c:v>
                </c:pt>
                <c:pt idx="65">
                  <c:v>175.66935807026391</c:v>
                </c:pt>
                <c:pt idx="66">
                  <c:v>179.25613465098684</c:v>
                </c:pt>
                <c:pt idx="67">
                  <c:v>182.82387221212338</c:v>
                </c:pt>
                <c:pt idx="68">
                  <c:v>186.36758665526455</c:v>
                </c:pt>
                <c:pt idx="69">
                  <c:v>189.88218924308424</c:v>
                </c:pt>
                <c:pt idx="70">
                  <c:v>193.36249776332033</c:v>
                </c:pt>
                <c:pt idx="71">
                  <c:v>196.80324848313313</c:v>
                </c:pt>
                <c:pt idx="72">
                  <c:v>200.19910886722644</c:v>
                </c:pt>
                <c:pt idx="73">
                  <c:v>203.54469102713924</c:v>
                </c:pt>
                <c:pt idx="74">
                  <c:v>206.83456586309157</c:v>
                </c:pt>
                <c:pt idx="75">
                  <c:v>210.06327785374518</c:v>
                </c:pt>
                <c:pt idx="76">
                  <c:v>213.22536044327748</c:v>
                </c:pt>
                <c:pt idx="77">
                  <c:v>216.31535196931796</c:v>
                </c:pt>
                <c:pt idx="78">
                  <c:v>219.32781206962537</c:v>
                </c:pt>
                <c:pt idx="79">
                  <c:v>222.25733849994546</c:v>
                </c:pt>
                <c:pt idx="80">
                  <c:v>225.09858429034912</c:v>
                </c:pt>
                <c:pt idx="81">
                  <c:v>227.84627516256614</c:v>
                </c:pt>
                <c:pt idx="82">
                  <c:v>230.49522712646413</c:v>
                </c:pt>
                <c:pt idx="83">
                  <c:v>233.04036416992878</c:v>
                </c:pt>
                <c:pt idx="84">
                  <c:v>235.47673595304022</c:v>
                </c:pt>
                <c:pt idx="85">
                  <c:v>237.79953541465997</c:v>
                </c:pt>
                <c:pt idx="86">
                  <c:v>240.00411619739128</c:v>
                </c:pt>
                <c:pt idx="87">
                  <c:v>242.08600979539867</c:v>
                </c:pt>
                <c:pt idx="88">
                  <c:v>244.04094232879967</c:v>
                </c:pt>
                <c:pt idx="89">
                  <c:v>245.86485084831287</c:v>
                </c:pt>
                <c:pt idx="90">
                  <c:v>247.55389907457547</c:v>
                </c:pt>
                <c:pt idx="91">
                  <c:v>249.10449247805164</c:v>
                </c:pt>
                <c:pt idx="92">
                  <c:v>250.5132926077454</c:v>
                </c:pt>
                <c:pt idx="93">
                  <c:v>251.77723058000655</c:v>
                </c:pt>
                <c:pt idx="94">
                  <c:v>252.89351964256682</c:v>
                </c:pt>
                <c:pt idx="95">
                  <c:v>253.85966673354497</c:v>
                </c:pt>
                <c:pt idx="96">
                  <c:v>254.67348296048777</c:v>
                </c:pt>
                <c:pt idx="97">
                  <c:v>255.33309293053188</c:v>
                </c:pt>
                <c:pt idx="98">
                  <c:v>255.83694286943251</c:v>
                </c:pt>
                <c:pt idx="99">
                  <c:v>256.18380747445866</c:v>
                </c:pt>
                <c:pt idx="100">
                  <c:v>256.37279545393812</c:v>
                </c:pt>
                <c:pt idx="101">
                  <c:v>256.40335371448077</c:v>
                </c:pt>
                <c:pt idx="102">
                  <c:v>256.27527016554734</c:v>
                </c:pt>
                <c:pt idx="103">
                  <c:v>255.98867511997381</c:v>
                </c:pt>
                <c:pt idx="104">
                  <c:v>255.54404127823815</c:v>
                </c:pt>
                <c:pt idx="105">
                  <c:v>254.94218229357023</c:v>
                </c:pt>
                <c:pt idx="106">
                  <c:v>254.18424992437252</c:v>
                </c:pt>
                <c:pt idx="107">
                  <c:v>253.27172978975258</c:v>
                </c:pt>
                <c:pt idx="108">
                  <c:v>252.20643575317089</c:v>
                </c:pt>
                <c:pt idx="109">
                  <c:v>250.9905029682015</c:v>
                </c:pt>
                <c:pt idx="110">
                  <c:v>249.62637962909443</c:v>
                </c:pt>
                <c:pt idx="111">
                  <c:v>248.11681747714016</c:v>
                </c:pt>
                <c:pt idx="112">
                  <c:v>246.46486112169208</c:v>
                </c:pt>
                <c:pt idx="113">
                  <c:v>244.67383624202532</c:v>
                </c:pt>
                <c:pt idx="114">
                  <c:v>242.74733674294185</c:v>
                </c:pt>
                <c:pt idx="115">
                  <c:v>240.689210943109</c:v>
                </c:pt>
                <c:pt idx="116">
                  <c:v>238.50354688049475</c:v>
                </c:pt>
                <c:pt idx="117">
                  <c:v>236.19465682389568</c:v>
                </c:pt>
                <c:pt idx="118">
                  <c:v>233.76706108341079</c:v>
                </c:pt>
                <c:pt idx="119">
                  <c:v>231.22547121577242</c:v>
                </c:pt>
                <c:pt idx="120">
                  <c:v>228.5747727226898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06-45A0-A117-8A067296463A}"/>
            </c:ext>
          </c:extLst>
        </c:ser>
        <c:ser>
          <c:idx val="3"/>
          <c:order val="2"/>
          <c:tx>
            <c:v>DECARBONISATION</c:v>
          </c:tx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DECARBONISATION!$A$8:$A$88</c:f>
              <c:numCache>
                <c:formatCode>General</c:formatCode>
                <c:ptCount val="8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  <c:pt idx="75">
                  <c:v>2095</c:v>
                </c:pt>
                <c:pt idx="76">
                  <c:v>2096</c:v>
                </c:pt>
                <c:pt idx="77">
                  <c:v>2097</c:v>
                </c:pt>
                <c:pt idx="78">
                  <c:v>2098</c:v>
                </c:pt>
                <c:pt idx="79">
                  <c:v>2099</c:v>
                </c:pt>
                <c:pt idx="80">
                  <c:v>2100</c:v>
                </c:pt>
              </c:numCache>
            </c:numRef>
          </c:xVal>
          <c:yVal>
            <c:numRef>
              <c:f>DECARBONISATION!$L$8:$L$89</c:f>
              <c:numCache>
                <c:formatCode>0.000</c:formatCode>
                <c:ptCount val="82"/>
                <c:pt idx="0">
                  <c:v>91.744812899973951</c:v>
                </c:pt>
                <c:pt idx="1">
                  <c:v>94.497157286973163</c:v>
                </c:pt>
                <c:pt idx="2">
                  <c:v>97.332072005582361</c:v>
                </c:pt>
                <c:pt idx="3">
                  <c:v>100.25203416574983</c:v>
                </c:pt>
                <c:pt idx="4">
                  <c:v>103.25959519072234</c:v>
                </c:pt>
                <c:pt idx="5">
                  <c:v>106.35738304644401</c:v>
                </c:pt>
                <c:pt idx="6">
                  <c:v>109.54561714880418</c:v>
                </c:pt>
                <c:pt idx="7">
                  <c:v>112.79845677182193</c:v>
                </c:pt>
                <c:pt idx="8">
                  <c:v>116.11695684989908</c:v>
                </c:pt>
                <c:pt idx="9">
                  <c:v>119.50221216334066</c:v>
                </c:pt>
                <c:pt idx="10">
                  <c:v>122.95535809843864</c:v>
                </c:pt>
                <c:pt idx="11">
                  <c:v>126.47757137652187</c:v>
                </c:pt>
                <c:pt idx="12">
                  <c:v>130.07007075541301</c:v>
                </c:pt>
                <c:pt idx="13">
                  <c:v>133.73411770671993</c:v>
                </c:pt>
                <c:pt idx="14">
                  <c:v>137.47101707235342</c:v>
                </c:pt>
                <c:pt idx="15">
                  <c:v>141.28211770360863</c:v>
                </c:pt>
                <c:pt idx="16">
                  <c:v>145.16881308607483</c:v>
                </c:pt>
                <c:pt idx="17">
                  <c:v>149.13254195355299</c:v>
                </c:pt>
                <c:pt idx="18">
                  <c:v>153.17478889406175</c:v>
                </c:pt>
                <c:pt idx="19">
                  <c:v>157.29708495090603</c:v>
                </c:pt>
                <c:pt idx="20">
                  <c:v>161.50100822166806</c:v>
                </c:pt>
                <c:pt idx="21">
                  <c:v>165.7881844578605</c:v>
                </c:pt>
                <c:pt idx="22">
                  <c:v>170.16028766785851</c:v>
                </c:pt>
                <c:pt idx="23">
                  <c:v>174.61904072560321</c:v>
                </c:pt>
                <c:pt idx="24">
                  <c:v>179.16621598744234</c:v>
                </c:pt>
                <c:pt idx="25">
                  <c:v>183.80363591934955</c:v>
                </c:pt>
                <c:pt idx="26">
                  <c:v>188.53317373664169</c:v>
                </c:pt>
                <c:pt idx="27">
                  <c:v>193.35675405819137</c:v>
                </c:pt>
                <c:pt idx="28">
                  <c:v>198.27635357701718</c:v>
                </c:pt>
                <c:pt idx="29">
                  <c:v>203.29400174901917</c:v>
                </c:pt>
                <c:pt idx="30">
                  <c:v>208.41178150152206</c:v>
                </c:pt>
                <c:pt idx="31">
                  <c:v>213.63182996318153</c:v>
                </c:pt>
                <c:pt idx="32">
                  <c:v>218.95633921671632</c:v>
                </c:pt>
                <c:pt idx="33">
                  <c:v>224.38755707583206</c:v>
                </c:pt>
                <c:pt idx="34">
                  <c:v>229.92778788761981</c:v>
                </c:pt>
                <c:pt idx="35">
                  <c:v>235.57939336163011</c:v>
                </c:pt>
                <c:pt idx="36">
                  <c:v>241.34479342674965</c:v>
                </c:pt>
                <c:pt idx="37">
                  <c:v>247.22646711693716</c:v>
                </c:pt>
                <c:pt idx="38">
                  <c:v>253.22695348681478</c:v>
                </c:pt>
                <c:pt idx="39">
                  <c:v>259.34885255805051</c:v>
                </c:pt>
                <c:pt idx="40">
                  <c:v>265.59482629741683</c:v>
                </c:pt>
                <c:pt idx="41">
                  <c:v>271.96759962736417</c:v>
                </c:pt>
                <c:pt idx="42">
                  <c:v>278.46996146990455</c:v>
                </c:pt>
                <c:pt idx="43">
                  <c:v>285.10476582456596</c:v>
                </c:pt>
                <c:pt idx="44">
                  <c:v>291.87493288114246</c:v>
                </c:pt>
                <c:pt idx="45">
                  <c:v>298.78345016794214</c:v>
                </c:pt>
                <c:pt idx="46">
                  <c:v>305.83337373620617</c:v>
                </c:pt>
                <c:pt idx="47">
                  <c:v>313.02782938135636</c:v>
                </c:pt>
                <c:pt idx="48">
                  <c:v>320.3700139017119</c:v>
                </c:pt>
                <c:pt idx="49">
                  <c:v>327.86319639530285</c:v>
                </c:pt>
                <c:pt idx="50">
                  <c:v>335.51071959539871</c:v>
                </c:pt>
                <c:pt idx="51">
                  <c:v>343.31600124536817</c:v>
                </c:pt>
                <c:pt idx="52">
                  <c:v>351.28253551347751</c:v>
                </c:pt>
                <c:pt idx="53">
                  <c:v>359.41389444823955</c:v>
                </c:pt>
                <c:pt idx="54">
                  <c:v>367.71372947492677</c:v>
                </c:pt>
                <c:pt idx="55">
                  <c:v>376.18577293386397</c:v>
                </c:pt>
                <c:pt idx="56">
                  <c:v>384.83383966112643</c:v>
                </c:pt>
                <c:pt idx="57">
                  <c:v>393.66182861227662</c:v>
                </c:pt>
                <c:pt idx="58">
                  <c:v>402.67372452978395</c:v>
                </c:pt>
                <c:pt idx="59">
                  <c:v>411.87359965478407</c:v>
                </c:pt>
                <c:pt idx="60">
                  <c:v>421.26561548384961</c:v>
                </c:pt>
                <c:pt idx="61">
                  <c:v>430.85402457145852</c:v>
                </c:pt>
                <c:pt idx="62">
                  <c:v>440.64317237886479</c:v>
                </c:pt>
                <c:pt idx="63">
                  <c:v>450.63749917009415</c:v>
                </c:pt>
                <c:pt idx="64">
                  <c:v>460.84154195580703</c:v>
                </c:pt>
                <c:pt idx="65">
                  <c:v>471.25993648579134</c:v>
                </c:pt>
                <c:pt idx="66">
                  <c:v>481.8974192908708</c:v>
                </c:pt>
                <c:pt idx="67">
                  <c:v>492.75882977503625</c:v>
                </c:pt>
                <c:pt idx="68">
                  <c:v>503.84911235863166</c:v>
                </c:pt>
                <c:pt idx="69">
                  <c:v>515.17331867345013</c:v>
                </c:pt>
                <c:pt idx="70">
                  <c:v>526.73660981062255</c:v>
                </c:pt>
                <c:pt idx="71">
                  <c:v>538.54425862220603</c:v>
                </c:pt>
                <c:pt idx="72">
                  <c:v>550.6016520774059</c:v>
                </c:pt>
                <c:pt idx="73">
                  <c:v>562.91429367439446</c:v>
                </c:pt>
                <c:pt idx="74">
                  <c:v>575.48780590871706</c:v>
                </c:pt>
                <c:pt idx="75">
                  <c:v>588.32793279930172</c:v>
                </c:pt>
                <c:pt idx="76">
                  <c:v>601.44054247312624</c:v>
                </c:pt>
                <c:pt idx="77">
                  <c:v>614.83162980961606</c:v>
                </c:pt>
                <c:pt idx="78">
                  <c:v>628.50731914588505</c:v>
                </c:pt>
                <c:pt idx="79">
                  <c:v>642.47386704396024</c:v>
                </c:pt>
                <c:pt idx="80">
                  <c:v>656.7376651211614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06-45A0-A117-8A067296463A}"/>
            </c:ext>
          </c:extLst>
        </c:ser>
        <c:ser>
          <c:idx val="4"/>
          <c:order val="3"/>
          <c:tx>
            <c:v>ADAPTATION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ADAPTATION!$A$5:$A$125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ADAPTATION!$E$5:$E$125</c:f>
              <c:numCache>
                <c:formatCode>0.00</c:formatCode>
                <c:ptCount val="121"/>
                <c:pt idx="0">
                  <c:v>28.125</c:v>
                </c:pt>
                <c:pt idx="1">
                  <c:v>28.96875</c:v>
                </c:pt>
                <c:pt idx="2">
                  <c:v>29.837812500000002</c:v>
                </c:pt>
                <c:pt idx="3">
                  <c:v>30.732946875</c:v>
                </c:pt>
                <c:pt idx="4">
                  <c:v>31.654935281250001</c:v>
                </c:pt>
                <c:pt idx="5">
                  <c:v>32.604583339687501</c:v>
                </c:pt>
                <c:pt idx="6">
                  <c:v>33.582720839878121</c:v>
                </c:pt>
                <c:pt idx="7">
                  <c:v>34.590202465074469</c:v>
                </c:pt>
                <c:pt idx="8">
                  <c:v>35.627908539026706</c:v>
                </c:pt>
                <c:pt idx="9">
                  <c:v>36.696745795197501</c:v>
                </c:pt>
                <c:pt idx="10">
                  <c:v>37.797648169053424</c:v>
                </c:pt>
                <c:pt idx="11">
                  <c:v>38.931577614125025</c:v>
                </c:pt>
                <c:pt idx="12">
                  <c:v>40.099524942548769</c:v>
                </c:pt>
                <c:pt idx="13">
                  <c:v>41.302510690825223</c:v>
                </c:pt>
                <c:pt idx="14">
                  <c:v>42.541586011549974</c:v>
                </c:pt>
                <c:pt idx="15">
                  <c:v>43.817833591896481</c:v>
                </c:pt>
                <c:pt idx="16">
                  <c:v>45.132368599653375</c:v>
                </c:pt>
                <c:pt idx="17">
                  <c:v>46.486339657642979</c:v>
                </c:pt>
                <c:pt idx="18">
                  <c:v>47.880929847372265</c:v>
                </c:pt>
                <c:pt idx="19">
                  <c:v>49.31735774279344</c:v>
                </c:pt>
                <c:pt idx="20">
                  <c:v>50.796878475077243</c:v>
                </c:pt>
                <c:pt idx="21">
                  <c:v>52.320784829329561</c:v>
                </c:pt>
                <c:pt idx="22">
                  <c:v>53.89040837420945</c:v>
                </c:pt>
                <c:pt idx="23">
                  <c:v>55.507120625435739</c:v>
                </c:pt>
                <c:pt idx="24">
                  <c:v>57.172334244198815</c:v>
                </c:pt>
                <c:pt idx="25">
                  <c:v>58.887504271524783</c:v>
                </c:pt>
                <c:pt idx="26">
                  <c:v>60.654129399670524</c:v>
                </c:pt>
                <c:pt idx="27">
                  <c:v>62.473753281660635</c:v>
                </c:pt>
                <c:pt idx="28">
                  <c:v>64.347965880110451</c:v>
                </c:pt>
                <c:pt idx="29">
                  <c:v>66.27840485651376</c:v>
                </c:pt>
                <c:pt idx="30">
                  <c:v>68.266757002209175</c:v>
                </c:pt>
                <c:pt idx="31">
                  <c:v>70.314759712275446</c:v>
                </c:pt>
                <c:pt idx="32">
                  <c:v>72.424202503643713</c:v>
                </c:pt>
                <c:pt idx="33">
                  <c:v>74.596928578753023</c:v>
                </c:pt>
                <c:pt idx="34">
                  <c:v>76.834836436115623</c:v>
                </c:pt>
                <c:pt idx="35">
                  <c:v>79.139881529199087</c:v>
                </c:pt>
                <c:pt idx="36">
                  <c:v>81.514077975075054</c:v>
                </c:pt>
                <c:pt idx="37">
                  <c:v>83.959500314327315</c:v>
                </c:pt>
                <c:pt idx="38">
                  <c:v>86.478285323757135</c:v>
                </c:pt>
                <c:pt idx="39">
                  <c:v>89.072633883469848</c:v>
                </c:pt>
                <c:pt idx="40">
                  <c:v>91.744812899973951</c:v>
                </c:pt>
                <c:pt idx="41">
                  <c:v>94.497157286973177</c:v>
                </c:pt>
                <c:pt idx="42">
                  <c:v>97.332072005582376</c:v>
                </c:pt>
                <c:pt idx="43">
                  <c:v>100.25203416574985</c:v>
                </c:pt>
                <c:pt idx="44">
                  <c:v>103.25959519072235</c:v>
                </c:pt>
                <c:pt idx="45">
                  <c:v>106.35543817569678</c:v>
                </c:pt>
                <c:pt idx="46">
                  <c:v>109.50094257146368</c:v>
                </c:pt>
                <c:pt idx="47">
                  <c:v>112.68104190755356</c:v>
                </c:pt>
                <c:pt idx="48">
                  <c:v>115.88117345663761</c:v>
                </c:pt>
                <c:pt idx="49">
                  <c:v>119.08799027947946</c:v>
                </c:pt>
                <c:pt idx="50">
                  <c:v>122.28995514781037</c:v>
                </c:pt>
                <c:pt idx="51">
                  <c:v>125.47776792821323</c:v>
                </c:pt>
                <c:pt idx="52">
                  <c:v>128.64459821494353</c:v>
                </c:pt>
                <c:pt idx="53">
                  <c:v>131.7861190030911</c:v>
                </c:pt>
                <c:pt idx="54">
                  <c:v>134.90036023165064</c:v>
                </c:pt>
                <c:pt idx="55">
                  <c:v>137.98741862411731</c:v>
                </c:pt>
                <c:pt idx="56">
                  <c:v>141.0490696098486</c:v>
                </c:pt>
                <c:pt idx="57">
                  <c:v>144.08832781458031</c:v>
                </c:pt>
                <c:pt idx="58">
                  <c:v>147.10899643659252</c:v>
                </c:pt>
                <c:pt idx="59">
                  <c:v>150.11523578559178</c:v>
                </c:pt>
                <c:pt idx="60">
                  <c:v>153.11117043469707</c:v>
                </c:pt>
                <c:pt idx="61">
                  <c:v>156.10054509141068</c:v>
                </c:pt>
                <c:pt idx="62">
                  <c:v>159.086432539638</c:v>
                </c:pt>
                <c:pt idx="63">
                  <c:v>162.07099292188323</c:v>
                </c:pt>
                <c:pt idx="64">
                  <c:v>165.05528166281306</c:v>
                </c:pt>
                <c:pt idx="65">
                  <c:v>168.0391027078999</c:v>
                </c:pt>
                <c:pt idx="66">
                  <c:v>171.02090376804867</c:v>
                </c:pt>
                <c:pt idx="67">
                  <c:v>173.99771044505468</c:v>
                </c:pt>
                <c:pt idx="68">
                  <c:v>176.96509621676293</c:v>
                </c:pt>
                <c:pt idx="69">
                  <c:v>179.91718521454922</c:v>
                </c:pt>
                <c:pt idx="70">
                  <c:v>182.84668456164181</c:v>
                </c:pt>
                <c:pt idx="71">
                  <c:v>185.74494283181613</c:v>
                </c:pt>
                <c:pt idx="72">
                  <c:v>188.60203100737525</c:v>
                </c:pt>
                <c:pt idx="73">
                  <c:v>191.40684221730217</c:v>
                </c:pt>
                <c:pt idx="74">
                  <c:v>194.14720655135395</c:v>
                </c:pt>
                <c:pt idx="75">
                  <c:v>196.81001738293159</c:v>
                </c:pt>
                <c:pt idx="76">
                  <c:v>199.38136588651014</c:v>
                </c:pt>
                <c:pt idx="77">
                  <c:v>201.84668078767203</c:v>
                </c:pt>
                <c:pt idx="78">
                  <c:v>204.19087081251965</c:v>
                </c:pt>
                <c:pt idx="79">
                  <c:v>206.39846778204122</c:v>
                </c:pt>
                <c:pt idx="80">
                  <c:v>208.45376879778752</c:v>
                </c:pt>
                <c:pt idx="81">
                  <c:v>210.34097645968941</c:v>
                </c:pt>
                <c:pt idx="82">
                  <c:v>212.04433651795401</c:v>
                </c:pt>
                <c:pt idx="83">
                  <c:v>213.54827276435668</c:v>
                </c:pt>
                <c:pt idx="84">
                  <c:v>214.83751929364124</c:v>
                </c:pt>
                <c:pt idx="85">
                  <c:v>215.89725049820495</c:v>
                </c:pt>
                <c:pt idx="86">
                  <c:v>216.71320928995195</c:v>
                </c:pt>
                <c:pt idx="87">
                  <c:v>217.27183406974689</c:v>
                </c:pt>
                <c:pt idx="88">
                  <c:v>217.56038489110753</c:v>
                </c:pt>
                <c:pt idx="89">
                  <c:v>217.56706909998306</c:v>
                </c:pt>
                <c:pt idx="90">
                  <c:v>217.28116649052976</c:v>
                </c:pt>
                <c:pt idx="91">
                  <c:v>216.69315371487744</c:v>
                </c:pt>
                <c:pt idx="92">
                  <c:v>215.79482734220883</c:v>
                </c:pt>
                <c:pt idx="93">
                  <c:v>214.57942459920264</c:v>
                </c:pt>
                <c:pt idx="94">
                  <c:v>213.04174046011897</c:v>
                </c:pt>
                <c:pt idx="95">
                  <c:v>211.17823940979889</c:v>
                </c:pt>
                <c:pt idx="96">
                  <c:v>208.98715989446075</c:v>
                </c:pt>
                <c:pt idx="97">
                  <c:v>206.46860921941251</c:v>
                </c:pt>
                <c:pt idx="98">
                  <c:v>203.62464646353197</c:v>
                </c:pt>
                <c:pt idx="99">
                  <c:v>200.45935086907897</c:v>
                </c:pt>
                <c:pt idx="100">
                  <c:v>196.97887314101479</c:v>
                </c:pt>
                <c:pt idx="101">
                  <c:v>193.19146715865853</c:v>
                </c:pt>
                <c:pt idx="102">
                  <c:v>189.10749976743702</c:v>
                </c:pt>
                <c:pt idx="103">
                  <c:v>184.73943657979615</c:v>
                </c:pt>
                <c:pt idx="104">
                  <c:v>180.10180206893457</c:v>
                </c:pt>
                <c:pt idx="105">
                  <c:v>175.21111268047525</c:v>
                </c:pt>
                <c:pt idx="106">
                  <c:v>170.08578220579457</c:v>
                </c:pt>
                <c:pt idx="107">
                  <c:v>164.74599924357179</c:v>
                </c:pt>
                <c:pt idx="108">
                  <c:v>159.21357720735838</c:v>
                </c:pt>
                <c:pt idx="109">
                  <c:v>153.51177799817273</c:v>
                </c:pt>
                <c:pt idx="110">
                  <c:v>147.66511113184458</c:v>
                </c:pt>
                <c:pt idx="111">
                  <c:v>141.92948611308486</c:v>
                </c:pt>
                <c:pt idx="112">
                  <c:v>136.38320252782313</c:v>
                </c:pt>
                <c:pt idx="113">
                  <c:v>131.01973211140887</c:v>
                </c:pt>
                <c:pt idx="114">
                  <c:v>125.833246174729</c:v>
                </c:pt>
                <c:pt idx="115">
                  <c:v>120.8184606456584</c:v>
                </c:pt>
                <c:pt idx="116">
                  <c:v>115.9705162705109</c:v>
                </c:pt>
                <c:pt idx="117">
                  <c:v>111.28488559333115</c:v>
                </c:pt>
                <c:pt idx="118">
                  <c:v>106.75730054002875</c:v>
                </c:pt>
                <c:pt idx="119">
                  <c:v>102.38369599953879</c:v>
                </c:pt>
                <c:pt idx="120">
                  <c:v>98.160165919743477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06-45A0-A117-8A067296463A}"/>
            </c:ext>
          </c:extLst>
        </c:ser>
        <c:ser>
          <c:idx val="1"/>
          <c:order val="4"/>
          <c:tx>
            <c:v>EFFICIENCY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EFFICIENCY!$K$6:$K$126</c:f>
              <c:numCache>
                <c:formatCode>0.0000</c:formatCode>
                <c:ptCount val="121"/>
                <c:pt idx="0">
                  <c:v>27.951772203491839</c:v>
                </c:pt>
                <c:pt idx="1">
                  <c:v>28.779995718594332</c:v>
                </c:pt>
                <c:pt idx="2">
                  <c:v>29.632759866969572</c:v>
                </c:pt>
                <c:pt idx="3">
                  <c:v>30.510791798560081</c:v>
                </c:pt>
                <c:pt idx="4">
                  <c:v>31.414840209086506</c:v>
                </c:pt>
                <c:pt idx="5">
                  <c:v>32.345675978458672</c:v>
                </c:pt>
                <c:pt idx="6">
                  <c:v>33.304092828102974</c:v>
                </c:pt>
                <c:pt idx="7">
                  <c:v>34.290907997766716</c:v>
                </c:pt>
                <c:pt idx="8">
                  <c:v>35.306962942376593</c:v>
                </c:pt>
                <c:pt idx="9">
                  <c:v>36.353124049545151</c:v>
                </c:pt>
                <c:pt idx="10">
                  <c:v>37.430283378337542</c:v>
                </c:pt>
                <c:pt idx="11">
                  <c:v>38.539359419928097</c:v>
                </c:pt>
                <c:pt idx="12">
                  <c:v>39.681297880795498</c:v>
                </c:pt>
                <c:pt idx="13">
                  <c:v>40.857072489124491</c:v>
                </c:pt>
                <c:pt idx="14">
                  <c:v>42.067685825101549</c:v>
                </c:pt>
                <c:pt idx="15">
                  <c:v>43.31417017581262</c:v>
                </c:pt>
                <c:pt idx="16">
                  <c:v>44.597588415471783</c:v>
                </c:pt>
                <c:pt idx="17">
                  <c:v>45.919034911731586</c:v>
                </c:pt>
                <c:pt idx="18">
                  <c:v>47.279636458847698</c:v>
                </c:pt>
                <c:pt idx="19">
                  <c:v>48.680553238493715</c:v>
                </c:pt>
                <c:pt idx="20">
                  <c:v>50.122979809045233</c:v>
                </c:pt>
                <c:pt idx="21">
                  <c:v>51.608146124176876</c:v>
                </c:pt>
                <c:pt idx="22">
                  <c:v>53.137318581640891</c:v>
                </c:pt>
                <c:pt idx="23">
                  <c:v>54.711801103121594</c:v>
                </c:pt>
                <c:pt idx="24">
                  <c:v>56.332936246086028</c:v>
                </c:pt>
                <c:pt idx="25">
                  <c:v>58.002106348579559</c:v>
                </c:pt>
                <c:pt idx="26">
                  <c:v>59.720734707942327</c:v>
                </c:pt>
                <c:pt idx="27">
                  <c:v>61.490286794451414</c:v>
                </c:pt>
                <c:pt idx="28">
                  <c:v>63.312271500923742</c:v>
                </c:pt>
                <c:pt idx="29">
                  <c:v>65.18824242934555</c:v>
                </c:pt>
                <c:pt idx="30">
                  <c:v>67.119799215624809</c:v>
                </c:pt>
                <c:pt idx="31">
                  <c:v>69.108588893597144</c:v>
                </c:pt>
                <c:pt idx="32">
                  <c:v>71.156307299447533</c:v>
                </c:pt>
                <c:pt idx="33">
                  <c:v>73.264700517745908</c:v>
                </c:pt>
                <c:pt idx="34">
                  <c:v>75.4355663703289</c:v>
                </c:pt>
                <c:pt idx="35">
                  <c:v>77.670755949298652</c:v>
                </c:pt>
                <c:pt idx="36">
                  <c:v>79.972175195444308</c:v>
                </c:pt>
                <c:pt idx="37">
                  <c:v>82.341786523433385</c:v>
                </c:pt>
                <c:pt idx="38">
                  <c:v>84.781610495157722</c:v>
                </c:pt>
                <c:pt idx="39">
                  <c:v>87.293727542662083</c:v>
                </c:pt>
                <c:pt idx="40">
                  <c:v>91.388909143737607</c:v>
                </c:pt>
                <c:pt idx="41">
                  <c:v>95.574367077017257</c:v>
                </c:pt>
                <c:pt idx="42">
                  <c:v>99.861406966919205</c:v>
                </c:pt>
                <c:pt idx="43">
                  <c:v>104.2608467028621</c:v>
                </c:pt>
                <c:pt idx="44">
                  <c:v>108.7831214352889</c:v>
                </c:pt>
                <c:pt idx="45">
                  <c:v>113.43837392488139</c:v>
                </c:pt>
                <c:pt idx="46">
                  <c:v>118.23358527160222</c:v>
                </c:pt>
                <c:pt idx="47">
                  <c:v>123.14016468771931</c:v>
                </c:pt>
                <c:pt idx="48">
                  <c:v>128.16211938822761</c:v>
                </c:pt>
                <c:pt idx="49">
                  <c:v>133.30302107118783</c:v>
                </c:pt>
                <c:pt idx="50">
                  <c:v>138.56602081055024</c:v>
                </c:pt>
                <c:pt idx="51">
                  <c:v>143.9538596116063</c:v>
                </c:pt>
                <c:pt idx="52">
                  <c:v>149.46887524517234</c:v>
                </c:pt>
                <c:pt idx="53">
                  <c:v>155.11300588537662</c:v>
                </c:pt>
                <c:pt idx="54">
                  <c:v>160.88779100343316</c:v>
                </c:pt>
                <c:pt idx="55">
                  <c:v>166.79436991209161</c:v>
                </c:pt>
                <c:pt idx="56">
                  <c:v>172.83347830954267</c:v>
                </c:pt>
                <c:pt idx="57">
                  <c:v>179.00544313504392</c:v>
                </c:pt>
                <c:pt idx="58">
                  <c:v>185.31017601958391</c:v>
                </c:pt>
                <c:pt idx="59">
                  <c:v>191.74716559202793</c:v>
                </c:pt>
                <c:pt idx="60">
                  <c:v>198.31546888321981</c:v>
                </c:pt>
                <c:pt idx="61">
                  <c:v>205.01370205649172</c:v>
                </c:pt>
                <c:pt idx="62">
                  <c:v>211.8400306821672</c:v>
                </c:pt>
                <c:pt idx="63">
                  <c:v>218.79215976528326</c:v>
                </c:pt>
                <c:pt idx="64">
                  <c:v>225.86732372936518</c:v>
                </c:pt>
                <c:pt idx="65">
                  <c:v>233.062276554178</c:v>
                </c:pt>
                <c:pt idx="66">
                  <c:v>240.37328226156387</c:v>
                </c:pt>
                <c:pt idx="67">
                  <c:v>247.79610594040511</c:v>
                </c:pt>
                <c:pt idx="68">
                  <c:v>255.32600549909054</c:v>
                </c:pt>
                <c:pt idx="69">
                  <c:v>262.95772433137432</c:v>
                </c:pt>
                <c:pt idx="70">
                  <c:v>270.68548507890625</c:v>
                </c:pt>
                <c:pt idx="71">
                  <c:v>278.50298467077846</c:v>
                </c:pt>
                <c:pt idx="72">
                  <c:v>286.4033908169726</c:v>
                </c:pt>
                <c:pt idx="73">
                  <c:v>294.37934012839884</c:v>
                </c:pt>
                <c:pt idx="74">
                  <c:v>302.42293803112966</c:v>
                </c:pt>
                <c:pt idx="75">
                  <c:v>310.52576063630761</c:v>
                </c:pt>
                <c:pt idx="76">
                  <c:v>318.67885871988926</c:v>
                </c:pt>
                <c:pt idx="77">
                  <c:v>326.87276395778287</c:v>
                </c:pt>
                <c:pt idx="78">
                  <c:v>335.09749755192001</c:v>
                </c:pt>
                <c:pt idx="79">
                  <c:v>343.34258137131621</c:v>
                </c:pt>
                <c:pt idx="80">
                  <c:v>351.59705171915664</c:v>
                </c:pt>
                <c:pt idx="81">
                  <c:v>359.84947582233707</c:v>
                </c:pt>
                <c:pt idx="82">
                  <c:v>368.08797112372059</c:v>
                </c:pt>
                <c:pt idx="83">
                  <c:v>376.30022743960723</c:v>
                </c:pt>
                <c:pt idx="84">
                  <c:v>384.47353202563983</c:v>
                </c:pt>
                <c:pt idx="85">
                  <c:v>392.59479757360293</c:v>
                </c:pt>
                <c:pt idx="86">
                  <c:v>400.65059313946483</c:v>
                </c:pt>
                <c:pt idx="87">
                  <c:v>408.62717797961386</c:v>
                </c:pt>
                <c:pt idx="88">
                  <c:v>416.51053824777887</c:v>
                </c:pt>
                <c:pt idx="89">
                  <c:v>424.28642647971452</c:v>
                </c:pt>
                <c:pt idx="90">
                  <c:v>431.94040376661428</c:v>
                </c:pt>
                <c:pt idx="91">
                  <c:v>439.45788449160062</c:v>
                </c:pt>
                <c:pt idx="92">
                  <c:v>446.82418347681659</c:v>
                </c:pt>
                <c:pt idx="93">
                  <c:v>454.02456536183246</c:v>
                </c:pt>
                <c:pt idx="94">
                  <c:v>461.04429600763154</c:v>
                </c:pt>
                <c:pt idx="95">
                  <c:v>467.86869569462829</c:v>
                </c:pt>
                <c:pt idx="96">
                  <c:v>474.48319385833292</c:v>
                </c:pt>
                <c:pt idx="97">
                  <c:v>480.87338508274388</c:v>
                </c:pt>
                <c:pt idx="98">
                  <c:v>487.02508604961349</c:v>
                </c:pt>
                <c:pt idx="99">
                  <c:v>492.92439312181125</c:v>
                </c:pt>
                <c:pt idx="100">
                  <c:v>498.55774022129151</c:v>
                </c:pt>
                <c:pt idx="101">
                  <c:v>503.91195664708533</c:v>
                </c:pt>
                <c:pt idx="102">
                  <c:v>508.97432446649469</c:v>
                </c:pt>
                <c:pt idx="103">
                  <c:v>513.73263510354082</c:v>
                </c:pt>
                <c:pt idx="104">
                  <c:v>518.17524474296329</c:v>
                </c:pt>
                <c:pt idx="105">
                  <c:v>522.29112816582381</c:v>
                </c:pt>
                <c:pt idx="106">
                  <c:v>526.06993063428627</c:v>
                </c:pt>
                <c:pt idx="107">
                  <c:v>529.5020174483617</c:v>
                </c:pt>
                <c:pt idx="108">
                  <c:v>532.57852080662383</c:v>
                </c:pt>
                <c:pt idx="109">
                  <c:v>535.29138361585888</c:v>
                </c:pt>
                <c:pt idx="110">
                  <c:v>537.63339991149769</c:v>
                </c:pt>
                <c:pt idx="111">
                  <c:v>539.59825157122555</c:v>
                </c:pt>
                <c:pt idx="112">
                  <c:v>541.18054102833219</c:v>
                </c:pt>
                <c:pt idx="113">
                  <c:v>542.37581971886425</c:v>
                </c:pt>
                <c:pt idx="114">
                  <c:v>543.18061202727381</c:v>
                </c:pt>
                <c:pt idx="115">
                  <c:v>543.59243452867963</c:v>
                </c:pt>
                <c:pt idx="116">
                  <c:v>543.60981036172802</c:v>
                </c:pt>
                <c:pt idx="117">
                  <c:v>543.23227860398254</c:v>
                </c:pt>
                <c:pt idx="118">
                  <c:v>542.46039856132097</c:v>
                </c:pt>
                <c:pt idx="119">
                  <c:v>541.29574892357527</c:v>
                </c:pt>
                <c:pt idx="120">
                  <c:v>539.74092178009698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06-45A0-A117-8A067296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15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GWP (T$/year)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40283813071084"/>
          <c:y val="0.13320559068047527"/>
          <c:w val="0.31615491009681879"/>
          <c:h val="0.29692797021062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EMISSIONS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6.9160579174130488E-2"/>
          <c:w val="0.683054052695515"/>
          <c:h val="0.80889968501414766"/>
        </c:manualLayout>
      </c:layout>
      <c:scatterChart>
        <c:scatterStyle val="smoothMarker"/>
        <c:varyColors val="0"/>
        <c:ser>
          <c:idx val="2"/>
          <c:order val="0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DATA!$I$8:$I$51</c:f>
              <c:numCache>
                <c:formatCode>0.00</c:formatCode>
                <c:ptCount val="44"/>
                <c:pt idx="0">
                  <c:v>5.3150519999999997</c:v>
                </c:pt>
                <c:pt idx="1">
                  <c:v>5.1880644545454544</c:v>
                </c:pt>
                <c:pt idx="2">
                  <c:v>5.1466628181818184</c:v>
                </c:pt>
                <c:pt idx="3">
                  <c:v>5.1796118181818178</c:v>
                </c:pt>
                <c:pt idx="4">
                  <c:v>5.3584911818181808</c:v>
                </c:pt>
                <c:pt idx="5">
                  <c:v>5.539609636363636</c:v>
                </c:pt>
                <c:pt idx="6">
                  <c:v>5.6222626363636357</c:v>
                </c:pt>
                <c:pt idx="7">
                  <c:v>5.7954749999999997</c:v>
                </c:pt>
                <c:pt idx="8">
                  <c:v>6.0232172727272717</c:v>
                </c:pt>
                <c:pt idx="9">
                  <c:v>6.1054464545454543</c:v>
                </c:pt>
                <c:pt idx="10">
                  <c:v>6.1988151818181807</c:v>
                </c:pt>
                <c:pt idx="11">
                  <c:v>6.3234823636363631</c:v>
                </c:pt>
                <c:pt idx="12">
                  <c:v>6.1440469090909087</c:v>
                </c:pt>
                <c:pt idx="13">
                  <c:v>6.2061237272727272</c:v>
                </c:pt>
                <c:pt idx="14">
                  <c:v>6.2708037272727273</c:v>
                </c:pt>
                <c:pt idx="15">
                  <c:v>6.4178408181818183</c:v>
                </c:pt>
                <c:pt idx="16">
                  <c:v>6.6158642727272721</c:v>
                </c:pt>
                <c:pt idx="17">
                  <c:v>6.6550652727272723</c:v>
                </c:pt>
                <c:pt idx="18">
                  <c:v>6.6283030909090899</c:v>
                </c:pt>
                <c:pt idx="19">
                  <c:v>6.7782899999999993</c:v>
                </c:pt>
                <c:pt idx="20">
                  <c:v>6.9574238181818178</c:v>
                </c:pt>
                <c:pt idx="21">
                  <c:v>7.0108071818181807</c:v>
                </c:pt>
                <c:pt idx="22">
                  <c:v>7.1664190909090904</c:v>
                </c:pt>
                <c:pt idx="23">
                  <c:v>7.5462245454545451</c:v>
                </c:pt>
                <c:pt idx="24">
                  <c:v>7.8088652727272718</c:v>
                </c:pt>
                <c:pt idx="25">
                  <c:v>8.0766531818181804</c:v>
                </c:pt>
                <c:pt idx="26">
                  <c:v>8.3531991818181819</c:v>
                </c:pt>
                <c:pt idx="27">
                  <c:v>8.6003577272727263</c:v>
                </c:pt>
                <c:pt idx="28">
                  <c:v>8.7475090909090909</c:v>
                </c:pt>
                <c:pt idx="29">
                  <c:v>8.6023423636363621</c:v>
                </c:pt>
                <c:pt idx="30">
                  <c:v>9.0970644545454533</c:v>
                </c:pt>
                <c:pt idx="31">
                  <c:v>9.4103290909090909</c:v>
                </c:pt>
                <c:pt idx="32">
                  <c:v>9.5454600000000003</c:v>
                </c:pt>
                <c:pt idx="33">
                  <c:v>9.6277240909090906</c:v>
                </c:pt>
                <c:pt idx="34">
                  <c:v>9.6682074545454544</c:v>
                </c:pt>
                <c:pt idx="35">
                  <c:v>9.6558818181818182</c:v>
                </c:pt>
                <c:pt idx="36">
                  <c:v>9.6590885454545443</c:v>
                </c:pt>
                <c:pt idx="37">
                  <c:v>9.8154264545454541</c:v>
                </c:pt>
                <c:pt idx="38">
                  <c:v>10.017388636363636</c:v>
                </c:pt>
                <c:pt idx="39">
                  <c:v>10.119347727272727</c:v>
                </c:pt>
                <c:pt idx="40">
                  <c:v>9.5799616363636364</c:v>
                </c:pt>
                <c:pt idx="41">
                  <c:v>10.088654727272726</c:v>
                </c:pt>
                <c:pt idx="42">
                  <c:v>10.171045636363637</c:v>
                </c:pt>
                <c:pt idx="43">
                  <c:v>10.306791818181818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85F-428A-9D38-5575ADB5B6D2}"/>
            </c:ext>
          </c:extLst>
        </c:ser>
        <c:ser>
          <c:idx val="3"/>
          <c:order val="1"/>
          <c:tx>
            <c:v>BAU+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BAU!$A$5:$A$125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BAU!$E$5:$E$126</c:f>
              <c:numCache>
                <c:formatCode>0.00</c:formatCode>
                <c:ptCount val="122"/>
                <c:pt idx="0">
                  <c:v>5.3344771522391206</c:v>
                </c:pt>
                <c:pt idx="1">
                  <c:v>5.4192399291888211</c:v>
                </c:pt>
                <c:pt idx="2">
                  <c:v>5.5053495538522137</c:v>
                </c:pt>
                <c:pt idx="3">
                  <c:v>5.592827427118098</c:v>
                </c:pt>
                <c:pt idx="4">
                  <c:v>5.6816952899271085</c:v>
                </c:pt>
                <c:pt idx="5">
                  <c:v>5.7719752286750179</c:v>
                </c:pt>
                <c:pt idx="6">
                  <c:v>5.8636896807018708</c:v>
                </c:pt>
                <c:pt idx="7">
                  <c:v>5.9568614398683692</c:v>
                </c:pt>
                <c:pt idx="8">
                  <c:v>6.0515136622208274</c:v>
                </c:pt>
                <c:pt idx="9">
                  <c:v>6.1476698717461762</c:v>
                </c:pt>
                <c:pt idx="10">
                  <c:v>6.2453539662183974</c:v>
                </c:pt>
                <c:pt idx="11">
                  <c:v>6.3445902231378435</c:v>
                </c:pt>
                <c:pt idx="12">
                  <c:v>6.4454033057649482</c:v>
                </c:pt>
                <c:pt idx="13">
                  <c:v>6.5478182692498148</c:v>
                </c:pt>
                <c:pt idx="14">
                  <c:v>6.6518605668591784</c:v>
                </c:pt>
                <c:pt idx="15">
                  <c:v>6.7575560563023265</c:v>
                </c:pt>
                <c:pt idx="16">
                  <c:v>6.8649310061575415</c:v>
                </c:pt>
                <c:pt idx="17">
                  <c:v>6.9740121024006436</c:v>
                </c:pt>
                <c:pt idx="18">
                  <c:v>7.0848264550372813</c:v>
                </c:pt>
                <c:pt idx="19">
                  <c:v>7.1974016048405955</c:v>
                </c:pt>
                <c:pt idx="20">
                  <c:v>7.3117655301959523</c:v>
                </c:pt>
                <c:pt idx="21">
                  <c:v>7.4279466540544323</c:v>
                </c:pt>
                <c:pt idx="22">
                  <c:v>7.5459738509968037</c:v>
                </c:pt>
                <c:pt idx="23">
                  <c:v>7.6658764544097453</c:v>
                </c:pt>
                <c:pt idx="24">
                  <c:v>7.7876842637760992</c:v>
                </c:pt>
                <c:pt idx="25">
                  <c:v>7.9114275520809532</c:v>
                </c:pt>
                <c:pt idx="26">
                  <c:v>8.037137073335396</c:v>
                </c:pt>
                <c:pt idx="27">
                  <c:v>8.1648440702198766</c:v>
                </c:pt>
                <c:pt idx="28">
                  <c:v>8.2945802818489085</c:v>
                </c:pt>
                <c:pt idx="29">
                  <c:v>8.4263779516592745</c:v>
                </c:pt>
                <c:pt idx="30">
                  <c:v>8.5602698354234796</c:v>
                </c:pt>
                <c:pt idx="31">
                  <c:v>8.6962892093905584</c:v>
                </c:pt>
                <c:pt idx="32">
                  <c:v>8.8344698785562858</c:v>
                </c:pt>
                <c:pt idx="33">
                  <c:v>8.9748461850647168</c:v>
                </c:pt>
                <c:pt idx="34">
                  <c:v>9.1174530167432799</c:v>
                </c:pt>
                <c:pt idx="35">
                  <c:v>9.2623258157734973</c:v>
                </c:pt>
                <c:pt idx="36">
                  <c:v>9.4095005874994033</c:v>
                </c:pt>
                <c:pt idx="37">
                  <c:v>9.5590139093760431</c:v>
                </c:pt>
                <c:pt idx="38">
                  <c:v>9.7109029400600466</c:v>
                </c:pt>
                <c:pt idx="39">
                  <c:v>9.8652054286447051</c:v>
                </c:pt>
                <c:pt idx="40">
                  <c:v>10.021959724041816</c:v>
                </c:pt>
                <c:pt idx="41">
                  <c:v>10.181204784512509</c:v>
                </c:pt>
                <c:pt idx="42">
                  <c:v>10.342980187349626</c:v>
                </c:pt>
                <c:pt idx="43">
                  <c:v>10.507326138713861</c:v>
                </c:pt>
                <c:pt idx="44">
                  <c:v>10.674283483626231</c:v>
                </c:pt>
                <c:pt idx="45">
                  <c:v>10.843787959165169</c:v>
                </c:pt>
                <c:pt idx="46">
                  <c:v>11.013702894339307</c:v>
                </c:pt>
                <c:pt idx="47">
                  <c:v>11.183930628385372</c:v>
                </c:pt>
                <c:pt idx="48">
                  <c:v>11.354370138931928</c:v>
                </c:pt>
                <c:pt idx="49">
                  <c:v>11.524917082740172</c:v>
                </c:pt>
                <c:pt idx="50">
                  <c:v>11.695463845772865</c:v>
                </c:pt>
                <c:pt idx="51">
                  <c:v>11.865899602894908</c:v>
                </c:pt>
                <c:pt idx="52">
                  <c:v>12.036110387487792</c:v>
                </c:pt>
                <c:pt idx="53">
                  <c:v>12.205979171236422</c:v>
                </c:pt>
                <c:pt idx="54">
                  <c:v>12.375385954319841</c:v>
                </c:pt>
                <c:pt idx="55">
                  <c:v>12.544207866208277</c:v>
                </c:pt>
                <c:pt idx="56">
                  <c:v>12.712319277236462</c:v>
                </c:pt>
                <c:pt idx="57">
                  <c:v>12.879591921088588</c:v>
                </c:pt>
                <c:pt idx="58">
                  <c:v>13.045895028292403</c:v>
                </c:pt>
                <c:pt idx="59">
                  <c:v>13.211095470780018</c:v>
                </c:pt>
                <c:pt idx="60">
                  <c:v>13.375057917529947</c:v>
                </c:pt>
                <c:pt idx="61">
                  <c:v>13.53764500126009</c:v>
                </c:pt>
                <c:pt idx="62">
                  <c:v>13.698717496093755</c:v>
                </c:pt>
                <c:pt idx="63">
                  <c:v>13.858134506071277</c:v>
                </c:pt>
                <c:pt idx="64">
                  <c:v>14.01575366432848</c:v>
                </c:pt>
                <c:pt idx="65">
                  <c:v>14.171431342710044</c:v>
                </c:pt>
                <c:pt idx="66">
                  <c:v>14.325022871531145</c:v>
                </c:pt>
                <c:pt idx="67">
                  <c:v>14.476382769145303</c:v>
                </c:pt>
                <c:pt idx="68">
                  <c:v>14.625364980919386</c:v>
                </c:pt>
                <c:pt idx="69">
                  <c:v>14.771823127159982</c:v>
                </c:pt>
                <c:pt idx="70">
                  <c:v>14.915610759477605</c:v>
                </c:pt>
                <c:pt idx="71">
                  <c:v>15.05658162501841</c:v>
                </c:pt>
                <c:pt idx="72">
                  <c:v>15.194589937936232</c:v>
                </c:pt>
                <c:pt idx="73">
                  <c:v>15.32949065742231</c:v>
                </c:pt>
                <c:pt idx="74">
                  <c:v>15.461139771555654</c:v>
                </c:pt>
                <c:pt idx="75">
                  <c:v>15.589394586184723</c:v>
                </c:pt>
                <c:pt idx="76">
                  <c:v>15.714114018000808</c:v>
                </c:pt>
                <c:pt idx="77">
                  <c:v>15.835158890916109</c:v>
                </c:pt>
                <c:pt idx="78">
                  <c:v>15.952392234815012</c:v>
                </c:pt>
                <c:pt idx="79">
                  <c:v>16.065679585706302</c:v>
                </c:pt>
                <c:pt idx="80">
                  <c:v>16.17488928626733</c:v>
                </c:pt>
                <c:pt idx="81">
                  <c:v>16.279892785738404</c:v>
                </c:pt>
                <c:pt idx="82">
                  <c:v>16.380564938098392</c:v>
                </c:pt>
                <c:pt idx="83">
                  <c:v>16.476784297429628</c:v>
                </c:pt>
                <c:pt idx="84">
                  <c:v>16.568433409363386</c:v>
                </c:pt>
                <c:pt idx="85">
                  <c:v>16.655399097485716</c:v>
                </c:pt>
                <c:pt idx="86">
                  <c:v>16.737572743578458</c:v>
                </c:pt>
                <c:pt idx="87">
                  <c:v>16.81485056057096</c:v>
                </c:pt>
                <c:pt idx="88">
                  <c:v>16.887133857085871</c:v>
                </c:pt>
                <c:pt idx="89">
                  <c:v>16.954329292476142</c:v>
                </c:pt>
                <c:pt idx="90">
                  <c:v>17.016349121271414</c:v>
                </c:pt>
                <c:pt idx="91">
                  <c:v>17.073111425979167</c:v>
                </c:pt>
                <c:pt idx="92">
                  <c:v>17.124540337220278</c:v>
                </c:pt>
                <c:pt idx="93">
                  <c:v>17.170566240219419</c:v>
                </c:pt>
                <c:pt idx="94">
                  <c:v>17.211125966717525</c:v>
                </c:pt>
                <c:pt idx="95">
                  <c:v>17.246162971427555</c:v>
                </c:pt>
                <c:pt idx="96">
                  <c:v>17.27562749221341</c:v>
                </c:pt>
                <c:pt idx="97">
                  <c:v>17.29947669323753</c:v>
                </c:pt>
                <c:pt idx="98">
                  <c:v>17.317674790392736</c:v>
                </c:pt>
                <c:pt idx="99">
                  <c:v>17.330193158409166</c:v>
                </c:pt>
                <c:pt idx="100">
                  <c:v>17.337010419106708</c:v>
                </c:pt>
                <c:pt idx="101">
                  <c:v>17.338112510347052</c:v>
                </c:pt>
                <c:pt idx="102">
                  <c:v>17.333492735326111</c:v>
                </c:pt>
                <c:pt idx="103">
                  <c:v>17.323151791937416</c:v>
                </c:pt>
                <c:pt idx="104">
                  <c:v>17.307097782028684</c:v>
                </c:pt>
                <c:pt idx="105">
                  <c:v>17.285346200467064</c:v>
                </c:pt>
                <c:pt idx="106">
                  <c:v>17.257919904022753</c:v>
                </c:pt>
                <c:pt idx="107">
                  <c:v>17.224849060174893</c:v>
                </c:pt>
                <c:pt idx="108">
                  <c:v>17.186171076037354</c:v>
                </c:pt>
                <c:pt idx="109">
                  <c:v>17.141930507694838</c:v>
                </c:pt>
                <c:pt idx="110">
                  <c:v>17.092178950330268</c:v>
                </c:pt>
                <c:pt idx="111">
                  <c:v>17.036974909612887</c:v>
                </c:pt>
                <c:pt idx="112">
                  <c:v>16.976383654901884</c:v>
                </c:pt>
                <c:pt idx="113">
                  <c:v>16.910477054901385</c:v>
                </c:pt>
                <c:pt idx="114">
                  <c:v>16.839333396480704</c:v>
                </c:pt>
                <c:pt idx="115">
                  <c:v>16.763037187445555</c:v>
                </c:pt>
                <c:pt idx="116">
                  <c:v>16.681678944113919</c:v>
                </c:pt>
                <c:pt idx="117">
                  <c:v>16.595354964611474</c:v>
                </c:pt>
                <c:pt idx="118">
                  <c:v>16.504167088857397</c:v>
                </c:pt>
                <c:pt idx="119">
                  <c:v>16.408222446260837</c:v>
                </c:pt>
                <c:pt idx="120">
                  <c:v>16.307633192190735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E0-4E83-82DE-D6D097377E7B}"/>
            </c:ext>
          </c:extLst>
        </c:ser>
        <c:ser>
          <c:idx val="1"/>
          <c:order val="2"/>
          <c:tx>
            <c:v>DECARBONISED</c:v>
          </c:tx>
          <c:spPr>
            <a:ln w="19050" cap="rnd" cmpd="sng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DECARBONISATION!$A$8:$A$88</c:f>
              <c:numCache>
                <c:formatCode>General</c:formatCode>
                <c:ptCount val="8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  <c:pt idx="75">
                  <c:v>2095</c:v>
                </c:pt>
                <c:pt idx="76">
                  <c:v>2096</c:v>
                </c:pt>
                <c:pt idx="77">
                  <c:v>2097</c:v>
                </c:pt>
                <c:pt idx="78">
                  <c:v>2098</c:v>
                </c:pt>
                <c:pt idx="79">
                  <c:v>2099</c:v>
                </c:pt>
                <c:pt idx="80">
                  <c:v>2100</c:v>
                </c:pt>
              </c:numCache>
            </c:numRef>
          </c:xVal>
          <c:yVal>
            <c:numRef>
              <c:f>DECARBONISATION!$N$8:$N$88</c:f>
              <c:numCache>
                <c:formatCode>0.00</c:formatCode>
                <c:ptCount val="81"/>
                <c:pt idx="0">
                  <c:v>10.021959724041816</c:v>
                </c:pt>
                <c:pt idx="1">
                  <c:v>9.7213009323205615</c:v>
                </c:pt>
                <c:pt idx="2">
                  <c:v>9.4296619043509455</c:v>
                </c:pt>
                <c:pt idx="3">
                  <c:v>9.1467720472204164</c:v>
                </c:pt>
                <c:pt idx="4">
                  <c:v>8.8723688858038052</c:v>
                </c:pt>
                <c:pt idx="5">
                  <c:v>8.6061978192296902</c:v>
                </c:pt>
                <c:pt idx="6">
                  <c:v>8.3478106107829504</c:v>
                </c:pt>
                <c:pt idx="7">
                  <c:v>8.0948212579170615</c:v>
                </c:pt>
                <c:pt idx="8">
                  <c:v>7.8472794336146929</c:v>
                </c:pt>
                <c:pt idx="9">
                  <c:v>7.6052210055716944</c:v>
                </c:pt>
                <c:pt idx="10">
                  <c:v>7.3686688486135852</c:v>
                </c:pt>
                <c:pt idx="11">
                  <c:v>7.1376336485348872</c:v>
                </c:pt>
                <c:pt idx="12">
                  <c:v>6.9121146937117031</c:v>
                </c:pt>
                <c:pt idx="13">
                  <c:v>6.6921006512801346</c:v>
                </c:pt>
                <c:pt idx="14">
                  <c:v>6.4775703250951286</c:v>
                </c:pt>
                <c:pt idx="15">
                  <c:v>6.2684933930839692</c:v>
                </c:pt>
                <c:pt idx="16">
                  <c:v>6.0648311219846409</c:v>
                </c:pt>
                <c:pt idx="17">
                  <c:v>5.8665370578105316</c:v>
                </c:pt>
                <c:pt idx="18">
                  <c:v>5.6735576907089662</c:v>
                </c:pt>
                <c:pt idx="19">
                  <c:v>5.4858330931816495</c:v>
                </c:pt>
                <c:pt idx="20">
                  <c:v>5.3032975309104256</c:v>
                </c:pt>
                <c:pt idx="21">
                  <c:v>5.1258800456821838</c:v>
                </c:pt>
                <c:pt idx="22">
                  <c:v>4.9535050101330285</c:v>
                </c:pt>
                <c:pt idx="23">
                  <c:v>4.7860926542346585</c:v>
                </c:pt>
                <c:pt idx="24">
                  <c:v>4.6235595636264506</c:v>
                </c:pt>
                <c:pt idx="25">
                  <c:v>4.4658191500559061</c:v>
                </c:pt>
                <c:pt idx="26">
                  <c:v>4.3127820943293376</c:v>
                </c:pt>
                <c:pt idx="27">
                  <c:v>4.16435676229489</c:v>
                </c:pt>
                <c:pt idx="28">
                  <c:v>4.0204495944828045</c:v>
                </c:pt>
                <c:pt idx="29">
                  <c:v>3.8809654701142922</c:v>
                </c:pt>
                <c:pt idx="30">
                  <c:v>3.7458080462618848</c:v>
                </c:pt>
                <c:pt idx="31">
                  <c:v>3.6148800730019364</c:v>
                </c:pt>
                <c:pt idx="32">
                  <c:v>3.4880836854452615</c:v>
                </c:pt>
                <c:pt idx="33">
                  <c:v>3.3653206735659227</c:v>
                </c:pt>
                <c:pt idx="34">
                  <c:v>3.2464927307720721</c:v>
                </c:pt>
                <c:pt idx="35">
                  <c:v>3.1315016821775621</c:v>
                </c:pt>
                <c:pt idx="36">
                  <c:v>3.020249693539836</c:v>
                </c:pt>
                <c:pt idx="37">
                  <c:v>2.9126394618292983</c:v>
                </c:pt>
                <c:pt idx="38">
                  <c:v>2.8085743883889114</c:v>
                </c:pt>
                <c:pt idx="39">
                  <c:v>2.7079587356309149</c:v>
                </c:pt>
                <c:pt idx="40">
                  <c:v>2.6106977682011814</c:v>
                </c:pt>
                <c:pt idx="41">
                  <c:v>2.5166978795214061</c:v>
                </c:pt>
                <c:pt idx="42">
                  <c:v>2.4258667045958364</c:v>
                </c:pt>
                <c:pt idx="43">
                  <c:v>2.3381132199430366</c:v>
                </c:pt>
                <c:pt idx="44">
                  <c:v>2.2533478314848967</c:v>
                </c:pt>
                <c:pt idx="45">
                  <c:v>2.1714824511951281</c:v>
                </c:pt>
                <c:pt idx="46">
                  <c:v>2.092430563278294</c:v>
                </c:pt>
                <c:pt idx="47">
                  <c:v>2.0161072806183697</c:v>
                </c:pt>
                <c:pt idx="48">
                  <c:v>1.9424293922032634</c:v>
                </c:pt>
                <c:pt idx="49">
                  <c:v>1.8713154021989087</c:v>
                </c:pt>
                <c:pt idx="50">
                  <c:v>1.8026855613137514</c:v>
                </c:pt>
                <c:pt idx="51">
                  <c:v>1.7364618910618925</c:v>
                </c:pt>
                <c:pt idx="52">
                  <c:v>1.6725682015010248</c:v>
                </c:pt>
                <c:pt idx="53">
                  <c:v>1.6109301029897349</c:v>
                </c:pt>
                <c:pt idx="54">
                  <c:v>1.5514750124779102</c:v>
                </c:pt>
                <c:pt idx="55">
                  <c:v>1.4941321548139721</c:v>
                </c:pt>
                <c:pt idx="56">
                  <c:v>1.4388325595235363</c:v>
                </c:pt>
                <c:pt idx="57">
                  <c:v>1.3855090534859842</c:v>
                </c:pt>
                <c:pt idx="58">
                  <c:v>1.3340962499083133</c:v>
                </c:pt>
                <c:pt idx="59">
                  <c:v>1.2845305339696163</c:v>
                </c:pt>
                <c:pt idx="60">
                  <c:v>1.2367500454845886</c:v>
                </c:pt>
                <c:pt idx="61">
                  <c:v>1.1906946589106437</c:v>
                </c:pt>
                <c:pt idx="62">
                  <c:v>1.1463059610004862</c:v>
                </c:pt>
                <c:pt idx="63">
                  <c:v>1.1035272263803955</c:v>
                </c:pt>
                <c:pt idx="64">
                  <c:v>1.062303391313945</c:v>
                </c:pt>
                <c:pt idx="65">
                  <c:v>1.0225810258914576</c:v>
                </c:pt>
                <c:pt idx="66">
                  <c:v>0.98430830486711496</c:v>
                </c:pt>
                <c:pt idx="67">
                  <c:v>0.94743497734829318</c:v>
                </c:pt>
                <c:pt idx="68">
                  <c:v>0.91191233552535234</c:v>
                </c:pt>
                <c:pt idx="69">
                  <c:v>0.87769318261472651</c:v>
                </c:pt>
                <c:pt idx="70">
                  <c:v>0.84473180017372429</c:v>
                </c:pt>
                <c:pt idx="71">
                  <c:v>0.8129839149318987</c:v>
                </c:pt>
                <c:pt idx="72">
                  <c:v>0.78240666527116842</c:v>
                </c:pt>
                <c:pt idx="73">
                  <c:v>0.75295856747501</c:v>
                </c:pt>
                <c:pt idx="74">
                  <c:v>0.724599481855973</c:v>
                </c:pt>
                <c:pt idx="75">
                  <c:v>0.69729057886044465</c:v>
                </c:pt>
                <c:pt idx="76">
                  <c:v>0.67099430523998227</c:v>
                </c:pt>
                <c:pt idx="77">
                  <c:v>0.64567435036959808</c:v>
                </c:pt>
                <c:pt idx="78">
                  <c:v>0.62129561278508283</c:v>
                </c:pt>
                <c:pt idx="79">
                  <c:v>0.59782416700376784</c:v>
                </c:pt>
                <c:pt idx="80">
                  <c:v>0.57522723068600068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85F-428A-9D38-5575ADB5B6D2}"/>
            </c:ext>
          </c:extLst>
        </c:ser>
        <c:ser>
          <c:idx val="4"/>
          <c:order val="3"/>
          <c:tx>
            <c:v>ADAPTATION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ADAPTATION!$A$5:$A$125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ADAPTATION!$G$5:$G$125</c:f>
              <c:numCache>
                <c:formatCode>0.0</c:formatCode>
                <c:ptCount val="121"/>
                <c:pt idx="0">
                  <c:v>5.3344771522391206</c:v>
                </c:pt>
                <c:pt idx="1">
                  <c:v>5.4192399291888211</c:v>
                </c:pt>
                <c:pt idx="2">
                  <c:v>5.5053495538522137</c:v>
                </c:pt>
                <c:pt idx="3">
                  <c:v>5.592827427118098</c:v>
                </c:pt>
                <c:pt idx="4">
                  <c:v>5.6816952899271085</c:v>
                </c:pt>
                <c:pt idx="5">
                  <c:v>5.7719752286750179</c:v>
                </c:pt>
                <c:pt idx="6">
                  <c:v>5.8636896807018708</c:v>
                </c:pt>
                <c:pt idx="7">
                  <c:v>5.9568614398683692</c:v>
                </c:pt>
                <c:pt idx="8">
                  <c:v>6.0515136622208274</c:v>
                </c:pt>
                <c:pt idx="9">
                  <c:v>6.1476698717461762</c:v>
                </c:pt>
                <c:pt idx="10">
                  <c:v>6.2453539662183974</c:v>
                </c:pt>
                <c:pt idx="11">
                  <c:v>6.3445902231378435</c:v>
                </c:pt>
                <c:pt idx="12">
                  <c:v>6.4454033057649482</c:v>
                </c:pt>
                <c:pt idx="13">
                  <c:v>6.5478182692498148</c:v>
                </c:pt>
                <c:pt idx="14">
                  <c:v>6.6518605668591784</c:v>
                </c:pt>
                <c:pt idx="15">
                  <c:v>6.7575560563023265</c:v>
                </c:pt>
                <c:pt idx="16">
                  <c:v>6.8649310061575415</c:v>
                </c:pt>
                <c:pt idx="17">
                  <c:v>6.9740121024006436</c:v>
                </c:pt>
                <c:pt idx="18">
                  <c:v>7.0848264550372813</c:v>
                </c:pt>
                <c:pt idx="19">
                  <c:v>7.1974016048405955</c:v>
                </c:pt>
                <c:pt idx="20">
                  <c:v>7.3117655301959523</c:v>
                </c:pt>
                <c:pt idx="21">
                  <c:v>7.4279466540544323</c:v>
                </c:pt>
                <c:pt idx="22">
                  <c:v>7.5459738509968037</c:v>
                </c:pt>
                <c:pt idx="23">
                  <c:v>7.6658764544097453</c:v>
                </c:pt>
                <c:pt idx="24">
                  <c:v>7.7876842637760992</c:v>
                </c:pt>
                <c:pt idx="25">
                  <c:v>7.9114275520809532</c:v>
                </c:pt>
                <c:pt idx="26">
                  <c:v>8.037137073335396</c:v>
                </c:pt>
                <c:pt idx="27">
                  <c:v>8.1648440702198766</c:v>
                </c:pt>
                <c:pt idx="28">
                  <c:v>8.2945802818489085</c:v>
                </c:pt>
                <c:pt idx="29">
                  <c:v>8.4263779516592745</c:v>
                </c:pt>
                <c:pt idx="30">
                  <c:v>8.5602698354234796</c:v>
                </c:pt>
                <c:pt idx="31">
                  <c:v>8.6962892093905584</c:v>
                </c:pt>
                <c:pt idx="32">
                  <c:v>8.8344698785562823</c:v>
                </c:pt>
                <c:pt idx="33">
                  <c:v>8.9748461850647168</c:v>
                </c:pt>
                <c:pt idx="34">
                  <c:v>9.1174530167432799</c:v>
                </c:pt>
                <c:pt idx="35">
                  <c:v>9.2623258157734973</c:v>
                </c:pt>
                <c:pt idx="36">
                  <c:v>9.4095005874994033</c:v>
                </c:pt>
                <c:pt idx="37">
                  <c:v>9.5590139093760431</c:v>
                </c:pt>
                <c:pt idx="38">
                  <c:v>9.7109029400600466</c:v>
                </c:pt>
                <c:pt idx="39">
                  <c:v>9.8652054286447051</c:v>
                </c:pt>
                <c:pt idx="40">
                  <c:v>10.021959724041816</c:v>
                </c:pt>
                <c:pt idx="41">
                  <c:v>10.181204784512509</c:v>
                </c:pt>
                <c:pt idx="42">
                  <c:v>10.342980187349626</c:v>
                </c:pt>
                <c:pt idx="43">
                  <c:v>10.507326138713861</c:v>
                </c:pt>
                <c:pt idx="44">
                  <c:v>10.674283483626231</c:v>
                </c:pt>
                <c:pt idx="45">
                  <c:v>10.843787959165169</c:v>
                </c:pt>
                <c:pt idx="46">
                  <c:v>11.013669335278491</c:v>
                </c:pt>
                <c:pt idx="47">
                  <c:v>11.183119480565097</c:v>
                </c:pt>
                <c:pt idx="48">
                  <c:v>11.351398785178223</c:v>
                </c:pt>
                <c:pt idx="49">
                  <c:v>11.517867851525439</c:v>
                </c:pt>
                <c:pt idx="50">
                  <c:v>11.682010577914026</c:v>
                </c:pt>
                <c:pt idx="51">
                  <c:v>11.843447190820113</c:v>
                </c:pt>
                <c:pt idx="52">
                  <c:v>12.001936888527602</c:v>
                </c:pt>
                <c:pt idx="53">
                  <c:v>12.157370887016068</c:v>
                </c:pt>
                <c:pt idx="54">
                  <c:v>12.309757602691574</c:v>
                </c:pt>
                <c:pt idx="55">
                  <c:v>12.459202301138358</c:v>
                </c:pt>
                <c:pt idx="56">
                  <c:v>12.60588371337793</c:v>
                </c:pt>
                <c:pt idx="57">
                  <c:v>12.750029906538639</c:v>
                </c:pt>
                <c:pt idx="58">
                  <c:v>12.891895215013246</c:v>
                </c:pt>
                <c:pt idx="59">
                  <c:v>13.031739447241247</c:v>
                </c:pt>
                <c:pt idx="60">
                  <c:v>13.169810021783951</c:v>
                </c:pt>
                <c:pt idx="61">
                  <c:v>13.30632724376696</c:v>
                </c:pt>
                <c:pt idx="62">
                  <c:v>13.441472640470296</c:v>
                </c:pt>
                <c:pt idx="63">
                  <c:v>13.575380118936744</c:v>
                </c:pt>
                <c:pt idx="64">
                  <c:v>13.708129651141531</c:v>
                </c:pt>
                <c:pt idx="65">
                  <c:v>13.839743191550797</c:v>
                </c:pt>
                <c:pt idx="66">
                  <c:v>13.970182554085637</c:v>
                </c:pt>
                <c:pt idx="67">
                  <c:v>14.099348999699247</c:v>
                </c:pt>
                <c:pt idx="68">
                  <c:v>14.227084302810388</c:v>
                </c:pt>
                <c:pt idx="69">
                  <c:v>14.353173073653442</c:v>
                </c:pt>
                <c:pt idx="70">
                  <c:v>14.477346117268864</c:v>
                </c:pt>
                <c:pt idx="71">
                  <c:v>14.599284612540863</c:v>
                </c:pt>
                <c:pt idx="72">
                  <c:v>14.718624899898897</c:v>
                </c:pt>
                <c:pt idx="73">
                  <c:v>14.834963676175265</c:v>
                </c:pt>
                <c:pt idx="74">
                  <c:v>14.94786341040135</c:v>
                </c:pt>
                <c:pt idx="75">
                  <c:v>15.056857814699114</c:v>
                </c:pt>
                <c:pt idx="76">
                  <c:v>15.161457228862298</c:v>
                </c:pt>
                <c:pt idx="77">
                  <c:v>15.261153804359278</c:v>
                </c:pt>
                <c:pt idx="78">
                  <c:v>15.355426401865458</c:v>
                </c:pt>
                <c:pt idx="79">
                  <c:v>15.443745144647108</c:v>
                </c:pt>
                <c:pt idx="80">
                  <c:v>15.525575596921934</c:v>
                </c:pt>
                <c:pt idx="81">
                  <c:v>15.600382560666818</c:v>
                </c:pt>
                <c:pt idx="82">
                  <c:v>15.66763350540746</c:v>
                </c:pt>
                <c:pt idx="83">
                  <c:v>15.726801662729461</c:v>
                </c:pt>
                <c:pt idx="84">
                  <c:v>15.777368830256913</c:v>
                </c:pt>
                <c:pt idx="85">
                  <c:v>15.818827938555012</c:v>
                </c:pt>
                <c:pt idx="86">
                  <c:v>15.850685438946361</c:v>
                </c:pt>
                <c:pt idx="87">
                  <c:v>15.872463570894562</c:v>
                </c:pt>
                <c:pt idx="88">
                  <c:v>15.883702564860036</c:v>
                </c:pt>
                <c:pt idx="89">
                  <c:v>15.883962830930352</c:v>
                </c:pt>
                <c:pt idx="90">
                  <c:v>15.872827175684796</c:v>
                </c:pt>
                <c:pt idx="91">
                  <c:v>15.849903080294773</c:v>
                </c:pt>
                <c:pt idx="92">
                  <c:v>15.814825062386731</c:v>
                </c:pt>
                <c:pt idx="93">
                  <c:v>15.767257133248188</c:v>
                </c:pt>
                <c:pt idx="94">
                  <c:v>15.706895351014113</c:v>
                </c:pt>
                <c:pt idx="95">
                  <c:v>15.633470459926537</c:v>
                </c:pt>
                <c:pt idx="96">
                  <c:v>15.546750595933602</c:v>
                </c:pt>
                <c:pt idx="97">
                  <c:v>15.446544030027429</c:v>
                </c:pt>
                <c:pt idx="98">
                  <c:v>15.332701912998527</c:v>
                </c:pt>
                <c:pt idx="99">
                  <c:v>15.205120978831312</c:v>
                </c:pt>
                <c:pt idx="100">
                  <c:v>15.063746158869742</c:v>
                </c:pt>
                <c:pt idx="101">
                  <c:v>14.90857305519147</c:v>
                </c:pt>
                <c:pt idx="102">
                  <c:v>14.739650219368606</c:v>
                </c:pt>
                <c:pt idx="103">
                  <c:v>14.557081181962767</c:v>
                </c:pt>
                <c:pt idx="104">
                  <c:v>14.361026178683117</c:v>
                </c:pt>
                <c:pt idx="105">
                  <c:v>14.151703521091472</c:v>
                </c:pt>
                <c:pt idx="106">
                  <c:v>13.92939056301287</c:v>
                </c:pt>
                <c:pt idx="107">
                  <c:v>13.694424218328804</c:v>
                </c:pt>
                <c:pt idx="108">
                  <c:v>13.447200991501484</c:v>
                </c:pt>
                <c:pt idx="109">
                  <c:v>13.188176488885921</c:v>
                </c:pt>
                <c:pt idx="110">
                  <c:v>12.917864386500488</c:v>
                </c:pt>
                <c:pt idx="111">
                  <c:v>12.647788044321764</c:v>
                </c:pt>
                <c:pt idx="112">
                  <c:v>12.381739074635007</c:v>
                </c:pt>
                <c:pt idx="113">
                  <c:v>12.119613026549889</c:v>
                </c:pt>
                <c:pt idx="114">
                  <c:v>11.861330023775908</c:v>
                </c:pt>
                <c:pt idx="115">
                  <c:v>11.606829416463141</c:v>
                </c:pt>
                <c:pt idx="116">
                  <c:v>11.356065558918328</c:v>
                </c:pt>
                <c:pt idx="117">
                  <c:v>11.109004449675613</c:v>
                </c:pt>
                <c:pt idx="118">
                  <c:v>10.865621039953986</c:v>
                </c:pt>
                <c:pt idx="119">
                  <c:v>10.625897065795714</c:v>
                </c:pt>
                <c:pt idx="120">
                  <c:v>10.389819294581775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E0-4E83-82DE-D6D097377E7B}"/>
            </c:ext>
          </c:extLst>
        </c:ser>
        <c:ser>
          <c:idx val="0"/>
          <c:order val="4"/>
          <c:tx>
            <c:v>EFFICIENCY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EFFICIENCY!$M$6:$M$126</c:f>
              <c:numCache>
                <c:formatCode>0.0</c:formatCode>
                <c:ptCount val="121"/>
                <c:pt idx="0">
                  <c:v>5.2037050543644083</c:v>
                </c:pt>
                <c:pt idx="1">
                  <c:v>5.2905251864039098</c:v>
                </c:pt>
                <c:pt idx="2">
                  <c:v>5.3787938508349731</c:v>
                </c:pt>
                <c:pt idx="3">
                  <c:v>5.4685352153942661</c:v>
                </c:pt>
                <c:pt idx="4">
                  <c:v>5.5597738510400339</c:v>
                </c:pt>
                <c:pt idx="5">
                  <c:v>5.652534738679547</c:v>
                </c:pt>
                <c:pt idx="6">
                  <c:v>5.7468432760088177</c:v>
                </c:pt>
                <c:pt idx="7">
                  <c:v>5.8427252844664155</c:v>
                </c:pt>
                <c:pt idx="8">
                  <c:v>5.9402070163033223</c:v>
                </c:pt>
                <c:pt idx="9">
                  <c:v>6.0393151617707286</c:v>
                </c:pt>
                <c:pt idx="10">
                  <c:v>6.1400768564277568</c:v>
                </c:pt>
                <c:pt idx="11">
                  <c:v>6.2425196885711092</c:v>
                </c:pt>
                <c:pt idx="12">
                  <c:v>6.3466717067886638</c:v>
                </c:pt>
                <c:pt idx="13">
                  <c:v>6.4525614276391217</c:v>
                </c:pt>
                <c:pt idx="14">
                  <c:v>6.5602178434597631</c:v>
                </c:pt>
                <c:pt idx="15">
                  <c:v>6.6696704303044747</c:v>
                </c:pt>
                <c:pt idx="16">
                  <c:v>6.7809491560142119</c:v>
                </c:pt>
                <c:pt idx="17">
                  <c:v>6.8940844884221351</c:v>
                </c:pt>
                <c:pt idx="18">
                  <c:v>7.0091074036956051</c:v>
                </c:pt>
                <c:pt idx="19">
                  <c:v>7.1260493948173966</c:v>
                </c:pt>
                <c:pt idx="20">
                  <c:v>7.2449424802083868</c:v>
                </c:pt>
                <c:pt idx="21">
                  <c:v>7.3658192124941122</c:v>
                </c:pt>
                <c:pt idx="22">
                  <c:v>7.4887126874176158</c:v>
                </c:pt>
                <c:pt idx="23">
                  <c:v>7.6136565529009603</c:v>
                </c:pt>
                <c:pt idx="24">
                  <c:v>7.7406850182579454</c:v>
                </c:pt>
                <c:pt idx="25">
                  <c:v>7.869832863560533</c:v>
                </c:pt>
                <c:pt idx="26">
                  <c:v>8.0011354491615521</c:v>
                </c:pt>
                <c:pt idx="27">
                  <c:v>8.1346287253762597</c:v>
                </c:pt>
                <c:pt idx="28">
                  <c:v>8.2703492423254588</c:v>
                </c:pt>
                <c:pt idx="29">
                  <c:v>8.4083341599428163</c:v>
                </c:pt>
                <c:pt idx="30">
                  <c:v>8.548621258149165</c:v>
                </c:pt>
                <c:pt idx="31">
                  <c:v>8.6912489471965522</c:v>
                </c:pt>
                <c:pt idx="32">
                  <c:v>8.8362562781848659</c:v>
                </c:pt>
                <c:pt idx="33">
                  <c:v>8.9836829537539398</c:v>
                </c:pt>
                <c:pt idx="34">
                  <c:v>9.1335693389539951</c:v>
                </c:pt>
                <c:pt idx="35">
                  <c:v>9.2859564722975438</c:v>
                </c:pt>
                <c:pt idx="36">
                  <c:v>9.4408860769955982</c:v>
                </c:pt>
                <c:pt idx="37">
                  <c:v>9.598400572381383</c:v>
                </c:pt>
                <c:pt idx="38">
                  <c:v>9.7585430855246393</c:v>
                </c:pt>
                <c:pt idx="39">
                  <c:v>9.921357463039719</c:v>
                </c:pt>
                <c:pt idx="40">
                  <c:v>10.009008468112786</c:v>
                </c:pt>
                <c:pt idx="41">
                  <c:v>10.105348333715332</c:v>
                </c:pt>
                <c:pt idx="42">
                  <c:v>10.210173640763164</c:v>
                </c:pt>
                <c:pt idx="43">
                  <c:v>10.323304572761572</c:v>
                </c:pt>
                <c:pt idx="44">
                  <c:v>10.444582902838771</c:v>
                </c:pt>
                <c:pt idx="45">
                  <c:v>10.573870222854783</c:v>
                </c:pt>
                <c:pt idx="46">
                  <c:v>10.710892246193465</c:v>
                </c:pt>
                <c:pt idx="47">
                  <c:v>10.853609301388095</c:v>
                </c:pt>
                <c:pt idx="48">
                  <c:v>11.001824389360834</c:v>
                </c:pt>
                <c:pt idx="49">
                  <c:v>11.155344566227942</c:v>
                </c:pt>
                <c:pt idx="50">
                  <c:v>11.313980040409795</c:v>
                </c:pt>
                <c:pt idx="51">
                  <c:v>11.477543347608322</c:v>
                </c:pt>
                <c:pt idx="52">
                  <c:v>11.645848595480318</c:v>
                </c:pt>
                <c:pt idx="53">
                  <c:v>11.818710771142459</c:v>
                </c:pt>
                <c:pt idx="54">
                  <c:v>11.995945105739128</c:v>
                </c:pt>
                <c:pt idx="55">
                  <c:v>12.177366491228254</c:v>
                </c:pt>
                <c:pt idx="56">
                  <c:v>12.362788945324963</c:v>
                </c:pt>
                <c:pt idx="57">
                  <c:v>12.552025121211919</c:v>
                </c:pt>
                <c:pt idx="58">
                  <c:v>12.744885859199334</c:v>
                </c:pt>
                <c:pt idx="59">
                  <c:v>12.941179778010842</c:v>
                </c:pt>
                <c:pt idx="60">
                  <c:v>13.140712903797203</c:v>
                </c:pt>
                <c:pt idx="61">
                  <c:v>13.343288335347285</c:v>
                </c:pt>
                <c:pt idx="62">
                  <c:v>13.548705944282668</c:v>
                </c:pt>
                <c:pt idx="63">
                  <c:v>13.756762109295714</c:v>
                </c:pt>
                <c:pt idx="64">
                  <c:v>13.967249483725297</c:v>
                </c:pt>
                <c:pt idx="65">
                  <c:v>14.179956795964271</c:v>
                </c:pt>
                <c:pt idx="66">
                  <c:v>14.394668682361383</c:v>
                </c:pt>
                <c:pt idx="67">
                  <c:v>14.611165552420877</c:v>
                </c:pt>
                <c:pt idx="68">
                  <c:v>14.829223486216842</c:v>
                </c:pt>
                <c:pt idx="69">
                  <c:v>15.048614164029862</c:v>
                </c:pt>
                <c:pt idx="70">
                  <c:v>15.269104828280476</c:v>
                </c:pt>
                <c:pt idx="71">
                  <c:v>15.490458277880098</c:v>
                </c:pt>
                <c:pt idx="72">
                  <c:v>15.712432895146277</c:v>
                </c:pt>
                <c:pt idx="73">
                  <c:v>15.934782705435351</c:v>
                </c:pt>
                <c:pt idx="74">
                  <c:v>16.157257469634537</c:v>
                </c:pt>
                <c:pt idx="75">
                  <c:v>16.379602809625808</c:v>
                </c:pt>
                <c:pt idx="76">
                  <c:v>16.60156036678865</c:v>
                </c:pt>
                <c:pt idx="77">
                  <c:v>16.822867993546708</c:v>
                </c:pt>
                <c:pt idx="78">
                  <c:v>17.043259977886443</c:v>
                </c:pt>
                <c:pt idx="79">
                  <c:v>17.262467300684335</c:v>
                </c:pt>
                <c:pt idx="80">
                  <c:v>17.480217925574664</c:v>
                </c:pt>
                <c:pt idx="81">
                  <c:v>17.696237120971588</c:v>
                </c:pt>
                <c:pt idx="82">
                  <c:v>17.910247813730447</c:v>
                </c:pt>
                <c:pt idx="83">
                  <c:v>18.121970973792838</c:v>
                </c:pt>
                <c:pt idx="84">
                  <c:v>18.331126029010665</c:v>
                </c:pt>
                <c:pt idx="85">
                  <c:v>18.537431309186246</c:v>
                </c:pt>
                <c:pt idx="86">
                  <c:v>18.740604518201351</c:v>
                </c:pt>
                <c:pt idx="87">
                  <c:v>18.94036323293712</c:v>
                </c:pt>
                <c:pt idx="88">
                  <c:v>19.136425427513085</c:v>
                </c:pt>
                <c:pt idx="89">
                  <c:v>19.328510021196713</c:v>
                </c:pt>
                <c:pt idx="90">
                  <c:v>19.516337448157714</c:v>
                </c:pt>
                <c:pt idx="91">
                  <c:v>19.699630247065219</c:v>
                </c:pt>
                <c:pt idx="92">
                  <c:v>19.878113668353087</c:v>
                </c:pt>
                <c:pt idx="93">
                  <c:v>20.051516296810263</c:v>
                </c:pt>
                <c:pt idx="94">
                  <c:v>20.219570686991556</c:v>
                </c:pt>
                <c:pt idx="95">
                  <c:v>20.382014008792297</c:v>
                </c:pt>
                <c:pt idx="96">
                  <c:v>20.538588700387457</c:v>
                </c:pt>
                <c:pt idx="97">
                  <c:v>20.689043125607931</c:v>
                </c:pt>
                <c:pt idx="98">
                  <c:v>20.83313223271011</c:v>
                </c:pt>
                <c:pt idx="99">
                  <c:v>20.970618211398417</c:v>
                </c:pt>
                <c:pt idx="100">
                  <c:v>21.101271144878108</c:v>
                </c:pt>
                <c:pt idx="101">
                  <c:v>21.224869653655592</c:v>
                </c:pt>
                <c:pt idx="102">
                  <c:v>21.341201527763115</c:v>
                </c:pt>
                <c:pt idx="103">
                  <c:v>21.450064344066405</c:v>
                </c:pt>
                <c:pt idx="104">
                  <c:v>21.55126606531935</c:v>
                </c:pt>
                <c:pt idx="105">
                  <c:v>21.644625617658242</c:v>
                </c:pt>
                <c:pt idx="106">
                  <c:v>21.729973443283225</c:v>
                </c:pt>
                <c:pt idx="107">
                  <c:v>21.807152025150888</c:v>
                </c:pt>
                <c:pt idx="108">
                  <c:v>21.87601638060832</c:v>
                </c:pt>
                <c:pt idx="109">
                  <c:v>21.936434521024633</c:v>
                </c:pt>
                <c:pt idx="110">
                  <c:v>21.988287874630771</c:v>
                </c:pt>
                <c:pt idx="111">
                  <c:v>22.031471669953024</c:v>
                </c:pt>
                <c:pt idx="112">
                  <c:v>22.06589527742533</c:v>
                </c:pt>
                <c:pt idx="113">
                  <c:v>22.09148250698458</c:v>
                </c:pt>
                <c:pt idx="114">
                  <c:v>22.10817185969298</c:v>
                </c:pt>
                <c:pt idx="115">
                  <c:v>22.11591673168823</c:v>
                </c:pt>
                <c:pt idx="116">
                  <c:v>22.114685569035256</c:v>
                </c:pt>
                <c:pt idx="117">
                  <c:v>22.104461972339454</c:v>
                </c:pt>
                <c:pt idx="118">
                  <c:v>22.085244750278086</c:v>
                </c:pt>
                <c:pt idx="119">
                  <c:v>22.057047921512588</c:v>
                </c:pt>
                <c:pt idx="120">
                  <c:v>22.019900664755156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E0-4E83-82DE-D6D09737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15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EMISSIONS (GtC/yr)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TEMPERATURE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0.13155786561162613"/>
          <c:w val="0.683054052695515"/>
          <c:h val="0.74650220446582105"/>
        </c:manualLayout>
      </c:layout>
      <c:scatterChart>
        <c:scatterStyle val="smoothMarker"/>
        <c:varyColors val="0"/>
        <c:ser>
          <c:idx val="0"/>
          <c:order val="0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DATA!$A$8:$A$47</c:f>
              <c:numCache>
                <c:formatCode>General</c:formatCod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xVal>
          <c:yVal>
            <c:numRef>
              <c:f>DATA!$H$8:$H$51</c:f>
              <c:numCache>
                <c:formatCode>0.000</c:formatCode>
                <c:ptCount val="44"/>
                <c:pt idx="0">
                  <c:v>0.73609999999999998</c:v>
                </c:pt>
                <c:pt idx="1">
                  <c:v>0.79</c:v>
                </c:pt>
                <c:pt idx="2">
                  <c:v>0.57430000000000003</c:v>
                </c:pt>
                <c:pt idx="3">
                  <c:v>0.76380000000000003</c:v>
                </c:pt>
                <c:pt idx="4">
                  <c:v>0.58800000000000008</c:v>
                </c:pt>
                <c:pt idx="5">
                  <c:v>0.5897</c:v>
                </c:pt>
                <c:pt idx="6">
                  <c:v>0.63570000000000004</c:v>
                </c:pt>
                <c:pt idx="7">
                  <c:v>0.78300000000000003</c:v>
                </c:pt>
                <c:pt idx="8">
                  <c:v>0.82220000000000004</c:v>
                </c:pt>
                <c:pt idx="9">
                  <c:v>0.71930000000000005</c:v>
                </c:pt>
                <c:pt idx="10">
                  <c:v>0.90060000000000007</c:v>
                </c:pt>
                <c:pt idx="11">
                  <c:v>0.87890000000000001</c:v>
                </c:pt>
                <c:pt idx="12">
                  <c:v>0.66490000000000005</c:v>
                </c:pt>
                <c:pt idx="13">
                  <c:v>0.70569999999999999</c:v>
                </c:pt>
                <c:pt idx="14">
                  <c:v>0.77350000000000008</c:v>
                </c:pt>
                <c:pt idx="15">
                  <c:v>0.91690000000000005</c:v>
                </c:pt>
                <c:pt idx="16">
                  <c:v>0.81669999999999998</c:v>
                </c:pt>
                <c:pt idx="17">
                  <c:v>0.96230000000000004</c:v>
                </c:pt>
                <c:pt idx="18">
                  <c:v>1.1173000000000002</c:v>
                </c:pt>
                <c:pt idx="19">
                  <c:v>0.86450000000000005</c:v>
                </c:pt>
                <c:pt idx="20">
                  <c:v>0.87109999999999999</c:v>
                </c:pt>
                <c:pt idx="21">
                  <c:v>1.0293000000000001</c:v>
                </c:pt>
                <c:pt idx="22">
                  <c:v>1.0834999999999999</c:v>
                </c:pt>
                <c:pt idx="23">
                  <c:v>1.0842000000000001</c:v>
                </c:pt>
                <c:pt idx="24">
                  <c:v>1.0074000000000001</c:v>
                </c:pt>
                <c:pt idx="25">
                  <c:v>1.1469</c:v>
                </c:pt>
                <c:pt idx="26">
                  <c:v>1.1126</c:v>
                </c:pt>
                <c:pt idx="27">
                  <c:v>1.1316999999999999</c:v>
                </c:pt>
                <c:pt idx="28">
                  <c:v>1.0056</c:v>
                </c:pt>
                <c:pt idx="29">
                  <c:v>1.1368</c:v>
                </c:pt>
                <c:pt idx="30">
                  <c:v>1.2204000000000002</c:v>
                </c:pt>
                <c:pt idx="31">
                  <c:v>1.0777000000000001</c:v>
                </c:pt>
                <c:pt idx="32">
                  <c:v>1.1175999999999999</c:v>
                </c:pt>
                <c:pt idx="33">
                  <c:v>1.1636000000000002</c:v>
                </c:pt>
                <c:pt idx="34">
                  <c:v>1.2129000000000001</c:v>
                </c:pt>
                <c:pt idx="35">
                  <c:v>1.3651</c:v>
                </c:pt>
                <c:pt idx="36">
                  <c:v>1.4729000000000001</c:v>
                </c:pt>
                <c:pt idx="37">
                  <c:v>1.3852</c:v>
                </c:pt>
                <c:pt idx="38">
                  <c:v>1.3027000000000002</c:v>
                </c:pt>
                <c:pt idx="39">
                  <c:v>1.4311</c:v>
                </c:pt>
                <c:pt idx="40">
                  <c:v>1.4629000000000001</c:v>
                </c:pt>
                <c:pt idx="41">
                  <c:v>1.3019000000000001</c:v>
                </c:pt>
                <c:pt idx="42">
                  <c:v>1.3412999999999999</c:v>
                </c:pt>
                <c:pt idx="43">
                  <c:v>1.6403000000000001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50-4E60-8B95-1E0371DE8980}"/>
            </c:ext>
          </c:extLst>
        </c:ser>
        <c:ser>
          <c:idx val="2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BAU!$A$5:$A$125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BAU!$G$5:$G$125</c:f>
              <c:numCache>
                <c:formatCode>0.000</c:formatCode>
                <c:ptCount val="121"/>
                <c:pt idx="0">
                  <c:v>0.62084014598540149</c:v>
                </c:pt>
                <c:pt idx="1">
                  <c:v>0.63580615434796894</c:v>
                </c:pt>
                <c:pt idx="2">
                  <c:v>0.65095777463086424</c:v>
                </c:pt>
                <c:pt idx="3">
                  <c:v>0.66629795613565013</c:v>
                </c:pt>
                <c:pt idx="4">
                  <c:v>0.68182969502714963</c:v>
                </c:pt>
                <c:pt idx="5">
                  <c:v>0.69755603507808484</c:v>
                </c:pt>
                <c:pt idx="6">
                  <c:v>0.71348006842554834</c:v>
                </c:pt>
                <c:pt idx="7">
                  <c:v>0.72960493633949408</c:v>
                </c:pt>
                <c:pt idx="8">
                  <c:v>0.74593383000343949</c:v>
                </c:pt>
                <c:pt idx="9">
                  <c:v>0.76246999130757265</c:v>
                </c:pt>
                <c:pt idx="10">
                  <c:v>0.7792167136544621</c:v>
                </c:pt>
                <c:pt idx="11">
                  <c:v>0.79617734277756802</c:v>
                </c:pt>
                <c:pt idx="12">
                  <c:v>0.81335527757276038</c:v>
                </c:pt>
                <c:pt idx="13">
                  <c:v>0.8307539709430487</c:v>
                </c:pt>
                <c:pt idx="14">
                  <c:v>0.84837693065673436</c:v>
                </c:pt>
                <c:pt idx="15">
                  <c:v>0.8662277202191998</c:v>
                </c:pt>
                <c:pt idx="16">
                  <c:v>0.88430995975854798</c:v>
                </c:pt>
                <c:pt idx="17">
                  <c:v>0.90262732692531622</c:v>
                </c:pt>
                <c:pt idx="18">
                  <c:v>0.92118355780648553</c:v>
                </c:pt>
                <c:pt idx="19">
                  <c:v>0.93998244785401242</c:v>
                </c:pt>
                <c:pt idx="20">
                  <c:v>0.95902785282811598</c:v>
                </c:pt>
                <c:pt idx="21">
                  <c:v>0.97832368975555228</c:v>
                </c:pt>
                <c:pt idx="22">
                  <c:v>0.99787393790311674</c:v>
                </c:pt>
                <c:pt idx="23">
                  <c:v>1.0176826397666134</c:v>
                </c:pt>
                <c:pt idx="24">
                  <c:v>1.0377539020755397</c:v>
                </c:pt>
                <c:pt idx="25">
                  <c:v>1.0580918968137356</c:v>
                </c:pt>
                <c:pt idx="26">
                  <c:v>1.0787008622562488</c:v>
                </c:pt>
                <c:pt idx="27">
                  <c:v>1.0995851040226765</c:v>
                </c:pt>
                <c:pt idx="28">
                  <c:v>1.1207489961472457</c:v>
                </c:pt>
                <c:pt idx="29">
                  <c:v>1.1421969821658928</c:v>
                </c:pt>
                <c:pt idx="30">
                  <c:v>1.1639335762206211</c:v>
                </c:pt>
                <c:pt idx="31">
                  <c:v>1.1859633641814025</c:v>
                </c:pt>
                <c:pt idx="32">
                  <c:v>1.2082910047859072</c:v>
                </c:pt>
                <c:pt idx="33">
                  <c:v>1.2309212307973445</c:v>
                </c:pt>
                <c:pt idx="34">
                  <c:v>1.253858850180698</c:v>
                </c:pt>
                <c:pt idx="35">
                  <c:v>1.2771087472976541</c:v>
                </c:pt>
                <c:pt idx="36">
                  <c:v>1.3006758841205157</c:v>
                </c:pt>
                <c:pt idx="37">
                  <c:v>1.3245653014654049</c:v>
                </c:pt>
                <c:pt idx="38">
                  <c:v>1.3487821202450605</c:v>
                </c:pt>
                <c:pt idx="39">
                  <c:v>1.3733315427415422</c:v>
                </c:pt>
                <c:pt idx="40">
                  <c:v>1.3982188538991585</c:v>
                </c:pt>
                <c:pt idx="41">
                  <c:v>1.4234494226379362</c:v>
                </c:pt>
                <c:pt idx="42">
                  <c:v>1.4490287031879634</c:v>
                </c:pt>
                <c:pt idx="43">
                  <c:v>1.4749622364449335</c:v>
                </c:pt>
                <c:pt idx="44">
                  <c:v>1.5012556513472268</c:v>
                </c:pt>
                <c:pt idx="45">
                  <c:v>1.5279146662748755</c:v>
                </c:pt>
                <c:pt idx="46">
                  <c:v>1.5549448588861861</c:v>
                </c:pt>
                <c:pt idx="47">
                  <c:v>1.582347127997878</c:v>
                </c:pt>
                <c:pt idx="48">
                  <c:v>1.6101221585709846</c:v>
                </c:pt>
                <c:pt idx="49">
                  <c:v>1.6382704143496678</c:v>
                </c:pt>
                <c:pt idx="50">
                  <c:v>1.6667921305892448</c:v>
                </c:pt>
                <c:pt idx="51">
                  <c:v>1.6956873068938572</c:v>
                </c:pt>
                <c:pt idx="52">
                  <c:v>1.7249557001848679</c:v>
                </c:pt>
                <c:pt idx="53">
                  <c:v>1.7545968178217026</c:v>
                </c:pt>
                <c:pt idx="54">
                  <c:v>1.784609910897403</c:v>
                </c:pt>
                <c:pt idx="55">
                  <c:v>1.81499396773168</c:v>
                </c:pt>
                <c:pt idx="56">
                  <c:v>1.8457477075846906</c:v>
                </c:pt>
                <c:pt idx="57">
                  <c:v>1.8768695746151356</c:v>
                </c:pt>
                <c:pt idx="58">
                  <c:v>1.9083577321065706</c:v>
                </c:pt>
                <c:pt idx="59">
                  <c:v>1.940210056986043</c:v>
                </c:pt>
                <c:pt idx="60">
                  <c:v>1.9724241346592839</c:v>
                </c:pt>
                <c:pt idx="61">
                  <c:v>2.0049972541867218</c:v>
                </c:pt>
                <c:pt idx="62">
                  <c:v>2.0379264038245175</c:v>
                </c:pt>
                <c:pt idx="63">
                  <c:v>2.0712082669546499</c:v>
                </c:pt>
                <c:pt idx="64">
                  <c:v>2.1048392184277986</c:v>
                </c:pt>
                <c:pt idx="65">
                  <c:v>2.1388153213423866</c:v>
                </c:pt>
                <c:pt idx="66">
                  <c:v>2.1731323242826277</c:v>
                </c:pt>
                <c:pt idx="67">
                  <c:v>2.2077856590378051</c:v>
                </c:pt>
                <c:pt idx="68">
                  <c:v>2.2427704388242549</c:v>
                </c:pt>
                <c:pt idx="69">
                  <c:v>2.2780814570306473</c:v>
                </c:pt>
                <c:pt idx="70">
                  <c:v>2.3137131865061802</c:v>
                </c:pt>
                <c:pt idx="71">
                  <c:v>2.3496597794101457</c:v>
                </c:pt>
                <c:pt idx="72">
                  <c:v>2.3859150676401133</c:v>
                </c:pt>
                <c:pt idx="73">
                  <c:v>2.4224725638545719</c:v>
                </c:pt>
                <c:pt idx="74">
                  <c:v>2.4593254631044021</c:v>
                </c:pt>
                <c:pt idx="75">
                  <c:v>2.4964666450859112</c:v>
                </c:pt>
                <c:pt idx="76">
                  <c:v>2.5338886770264613</c:v>
                </c:pt>
                <c:pt idx="77">
                  <c:v>2.5715838172118648</c:v>
                </c:pt>
                <c:pt idx="78">
                  <c:v>2.6095440191627759</c:v>
                </c:pt>
                <c:pt idx="79">
                  <c:v>2.6477609364652905</c:v>
                </c:pt>
                <c:pt idx="80">
                  <c:v>2.6862259282588079</c:v>
                </c:pt>
                <c:pt idx="81">
                  <c:v>2.7249300653820208</c:v>
                </c:pt>
                <c:pt idx="82">
                  <c:v>2.7638641371756085</c:v>
                </c:pt>
                <c:pt idx="83">
                  <c:v>2.8030186589378676</c:v>
                </c:pt>
                <c:pt idx="84">
                  <c:v>2.8423838800271297</c:v>
                </c:pt>
                <c:pt idx="85">
                  <c:v>2.8819497926023785</c:v>
                </c:pt>
                <c:pt idx="86">
                  <c:v>2.9217061409910334</c:v>
                </c:pt>
                <c:pt idx="87">
                  <c:v>2.9616424316704024</c:v>
                </c:pt>
                <c:pt idx="88">
                  <c:v>3.0017479438468349</c:v>
                </c:pt>
                <c:pt idx="89">
                  <c:v>3.0420117406141767</c:v>
                </c:pt>
                <c:pt idx="90">
                  <c:v>3.0824226806706934</c:v>
                </c:pt>
                <c:pt idx="91">
                  <c:v>3.1229694305712878</c:v>
                </c:pt>
                <c:pt idx="92">
                  <c:v>3.1636404774894906</c:v>
                </c:pt>
                <c:pt idx="93">
                  <c:v>3.2044241424615056</c:v>
                </c:pt>
                <c:pt idx="94">
                  <c:v>3.2453085940824238</c:v>
                </c:pt>
                <c:pt idx="95">
                  <c:v>3.2862818626226811</c:v>
                </c:pt>
                <c:pt idx="96">
                  <c:v>3.3273318545309167</c:v>
                </c:pt>
                <c:pt idx="97">
                  <c:v>3.3684463672875884</c:v>
                </c:pt>
                <c:pt idx="98">
                  <c:v>3.4096131045720504</c:v>
                </c:pt>
                <c:pt idx="99">
                  <c:v>3.4508196917042966</c:v>
                </c:pt>
                <c:pt idx="100">
                  <c:v>3.4920536913212512</c:v>
                </c:pt>
                <c:pt idx="101">
                  <c:v>3.5333026192463026</c:v>
                </c:pt>
                <c:pt idx="102">
                  <c:v>3.574553960509836</c:v>
                </c:pt>
                <c:pt idx="103">
                  <c:v>3.6157951854777037</c:v>
                </c:pt>
                <c:pt idx="104">
                  <c:v>3.6570137660439896</c:v>
                </c:pt>
                <c:pt idx="105">
                  <c:v>3.6981971918440526</c:v>
                </c:pt>
                <c:pt idx="106">
                  <c:v>3.7393329864436153</c:v>
                </c:pt>
                <c:pt idx="107">
                  <c:v>3.7804087234597237</c:v>
                </c:pt>
                <c:pt idx="108">
                  <c:v>3.8214120425695959</c:v>
                </c:pt>
                <c:pt idx="109">
                  <c:v>3.8623306653638383</c:v>
                </c:pt>
                <c:pt idx="110">
                  <c:v>3.903152411001126</c:v>
                </c:pt>
                <c:pt idx="111">
                  <c:v>3.943865211622287</c:v>
                </c:pt>
                <c:pt idx="112">
                  <c:v>3.9844571274827532</c:v>
                </c:pt>
                <c:pt idx="113">
                  <c:v>4.0249163617635597</c:v>
                </c:pt>
                <c:pt idx="114">
                  <c:v>4.0652312750224677</c:v>
                </c:pt>
                <c:pt idx="115">
                  <c:v>4.1053903992483383</c:v>
                </c:pt>
                <c:pt idx="116">
                  <c:v>4.1453824514836208</c:v>
                </c:pt>
                <c:pt idx="117">
                  <c:v>4.1851963469816802</c:v>
                </c:pt>
                <c:pt idx="118">
                  <c:v>4.2248212118676909</c:v>
                </c:pt>
                <c:pt idx="119">
                  <c:v>4.2642463952739478</c:v>
                </c:pt>
                <c:pt idx="120">
                  <c:v>4.3034614809226941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53-4A3A-97D3-598F5F5FC6CC}"/>
            </c:ext>
          </c:extLst>
        </c:ser>
        <c:ser>
          <c:idx val="5"/>
          <c:order val="2"/>
          <c:tx>
            <c:v>DECARBONISED</c:v>
          </c:tx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DECARBONISATION!$A$8:$A$88</c:f>
              <c:numCache>
                <c:formatCode>General</c:formatCode>
                <c:ptCount val="8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  <c:pt idx="75">
                  <c:v>2095</c:v>
                </c:pt>
                <c:pt idx="76">
                  <c:v>2096</c:v>
                </c:pt>
                <c:pt idx="77">
                  <c:v>2097</c:v>
                </c:pt>
                <c:pt idx="78">
                  <c:v>2098</c:v>
                </c:pt>
                <c:pt idx="79">
                  <c:v>2099</c:v>
                </c:pt>
                <c:pt idx="80">
                  <c:v>2100</c:v>
                </c:pt>
              </c:numCache>
            </c:numRef>
          </c:xVal>
          <c:yVal>
            <c:numRef>
              <c:f>DECARBONISATION!$P$8:$P$88</c:f>
              <c:numCache>
                <c:formatCode>0.000</c:formatCode>
                <c:ptCount val="81"/>
                <c:pt idx="0">
                  <c:v>1.3982188538991585</c:v>
                </c:pt>
                <c:pt idx="1">
                  <c:v>1.4201647511050894</c:v>
                </c:pt>
                <c:pt idx="2">
                  <c:v>1.4414522713948426</c:v>
                </c:pt>
                <c:pt idx="3">
                  <c:v>1.4621011660759029</c:v>
                </c:pt>
                <c:pt idx="4">
                  <c:v>1.4821305939165317</c:v>
                </c:pt>
                <c:pt idx="5">
                  <c:v>1.5015591389219414</c:v>
                </c:pt>
                <c:pt idx="6">
                  <c:v>1.5204048275771889</c:v>
                </c:pt>
                <c:pt idx="7">
                  <c:v>1.5386847048270786</c:v>
                </c:pt>
                <c:pt idx="8">
                  <c:v>1.5564105907933203</c:v>
                </c:pt>
                <c:pt idx="9">
                  <c:v>1.5735944143705789</c:v>
                </c:pt>
                <c:pt idx="10">
                  <c:v>1.5902481829959185</c:v>
                </c:pt>
                <c:pt idx="11">
                  <c:v>1.606383954197262</c:v>
                </c:pt>
                <c:pt idx="12">
                  <c:v>1.622013808902083</c:v>
                </c:pt>
                <c:pt idx="13">
                  <c:v>1.6371498264795539</c:v>
                </c:pt>
                <c:pt idx="14">
                  <c:v>1.651804061482357</c:v>
                </c:pt>
                <c:pt idx="15">
                  <c:v>1.6659885220482589</c:v>
                </c:pt>
                <c:pt idx="16">
                  <c:v>1.6797151499163261</c:v>
                </c:pt>
                <c:pt idx="17">
                  <c:v>1.6929958020082632</c:v>
                </c:pt>
                <c:pt idx="18">
                  <c:v>1.7058422335217169</c:v>
                </c:pt>
                <c:pt idx="19">
                  <c:v>1.7182660824794738</c:v>
                </c:pt>
                <c:pt idx="20">
                  <c:v>1.7302788556762221</c:v>
                </c:pt>
                <c:pt idx="21">
                  <c:v>1.7418919159628872</c:v>
                </c:pt>
                <c:pt idx="22">
                  <c:v>1.7531164708074467</c:v>
                </c:pt>
                <c:pt idx="23">
                  <c:v>1.7639635620705119</c:v>
                </c:pt>
                <c:pt idx="24">
                  <c:v>1.7744440569337991</c:v>
                </c:pt>
                <c:pt idx="25">
                  <c:v>1.7845686399198426</c:v>
                </c:pt>
                <c:pt idx="26">
                  <c:v>1.7943478059418629</c:v>
                </c:pt>
                <c:pt idx="27">
                  <c:v>1.803791854323606</c:v>
                </c:pt>
                <c:pt idx="28">
                  <c:v>1.8129108837300913</c:v>
                </c:pt>
                <c:pt idx="29">
                  <c:v>1.8217147879515865</c:v>
                </c:pt>
                <c:pt idx="30">
                  <c:v>1.8302132524846835</c:v>
                </c:pt>
                <c:pt idx="31">
                  <c:v>1.83841575185606</c:v>
                </c:pt>
                <c:pt idx="32">
                  <c:v>1.8463315476363562</c:v>
                </c:pt>
                <c:pt idx="33">
                  <c:v>1.8539696870935356</c:v>
                </c:pt>
                <c:pt idx="34">
                  <c:v>1.8613390024371108</c:v>
                </c:pt>
                <c:pt idx="35">
                  <c:v>1.8684481106066846</c:v>
                </c:pt>
                <c:pt idx="36">
                  <c:v>1.8753054135603582</c:v>
                </c:pt>
                <c:pt idx="37">
                  <c:v>1.8819190990206645</c:v>
                </c:pt>
                <c:pt idx="38">
                  <c:v>1.8882971416378089</c:v>
                </c:pt>
                <c:pt idx="39">
                  <c:v>1.8944473045320913</c:v>
                </c:pt>
                <c:pt idx="40">
                  <c:v>1.9003771411794581</c:v>
                </c:pt>
                <c:pt idx="41">
                  <c:v>1.9060939976061759</c:v>
                </c:pt>
                <c:pt idx="42">
                  <c:v>1.9116050148606023</c:v>
                </c:pt>
                <c:pt idx="43">
                  <c:v>1.9169171317319802</c:v>
                </c:pt>
                <c:pt idx="44">
                  <c:v>1.9220370876880597</c:v>
                </c:pt>
                <c:pt idx="45">
                  <c:v>1.92697142600518</c:v>
                </c:pt>
                <c:pt idx="46">
                  <c:v>1.9317264970661914</c:v>
                </c:pt>
                <c:pt idx="47">
                  <c:v>1.9363084618032971</c:v>
                </c:pt>
                <c:pt idx="48">
                  <c:v>1.9407232952645053</c:v>
                </c:pt>
                <c:pt idx="49">
                  <c:v>1.9449767902839283</c:v>
                </c:pt>
                <c:pt idx="50">
                  <c:v>1.9490745612376486</c:v>
                </c:pt>
                <c:pt idx="51">
                  <c:v>1.9530220478682627</c:v>
                </c:pt>
                <c:pt idx="52">
                  <c:v>1.9568245191625588</c:v>
                </c:pt>
                <c:pt idx="53">
                  <c:v>1.9604870772680356</c:v>
                </c:pt>
                <c:pt idx="54">
                  <c:v>1.9640146614351663</c:v>
                </c:pt>
                <c:pt idx="55">
                  <c:v>1.9674120519734393</c:v>
                </c:pt>
                <c:pt idx="56">
                  <c:v>1.9706838742102581</c:v>
                </c:pt>
                <c:pt idx="57">
                  <c:v>1.9738346024427915</c:v>
                </c:pt>
                <c:pt idx="58">
                  <c:v>1.9768685638737826</c:v>
                </c:pt>
                <c:pt idx="59">
                  <c:v>1.9797899425232168</c:v>
                </c:pt>
                <c:pt idx="60">
                  <c:v>1.9826027831085518</c:v>
                </c:pt>
                <c:pt idx="61">
                  <c:v>1.9853109948869849</c:v>
                </c:pt>
                <c:pt idx="62">
                  <c:v>1.9879183554539426</c:v>
                </c:pt>
                <c:pt idx="63">
                  <c:v>1.9904285144926299</c:v>
                </c:pt>
                <c:pt idx="64">
                  <c:v>1.992844997470105</c:v>
                </c:pt>
                <c:pt idx="65">
                  <c:v>1.995171209275902</c:v>
                </c:pt>
                <c:pt idx="66">
                  <c:v>1.9974104377997519</c:v>
                </c:pt>
                <c:pt idx="67">
                  <c:v>1.9995658574454462</c:v>
                </c:pt>
                <c:pt idx="68">
                  <c:v>2.0016405325783255</c:v>
                </c:pt>
                <c:pt idx="69">
                  <c:v>2.0036374209042935</c:v>
                </c:pt>
                <c:pt idx="70">
                  <c:v>2.0055593767786326</c:v>
                </c:pt>
                <c:pt idx="71">
                  <c:v>2.0074091544432462</c:v>
                </c:pt>
                <c:pt idx="72">
                  <c:v>2.0091894111912723</c:v>
                </c:pt>
                <c:pt idx="73">
                  <c:v>2.0109027104582897</c:v>
                </c:pt>
                <c:pt idx="74">
                  <c:v>2.0125515248396217</c:v>
                </c:pt>
                <c:pt idx="75">
                  <c:v>2.0141382390334672</c:v>
                </c:pt>
                <c:pt idx="76">
                  <c:v>2.0156651527098037</c:v>
                </c:pt>
                <c:pt idx="77">
                  <c:v>2.0171344833052198</c:v>
                </c:pt>
                <c:pt idx="78">
                  <c:v>2.0185483687439856</c:v>
                </c:pt>
                <c:pt idx="79">
                  <c:v>2.0199088700858505</c:v>
                </c:pt>
                <c:pt idx="80">
                  <c:v>2.0212179741011873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50-4E60-8B95-1E0371DE8980}"/>
            </c:ext>
          </c:extLst>
        </c:ser>
        <c:ser>
          <c:idx val="3"/>
          <c:order val="3"/>
          <c:tx>
            <c:v>ADAPTATION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ADAPTATION!$A$5:$A$125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ADAPTATION!$I$5:$I$125</c:f>
              <c:numCache>
                <c:formatCode>0.000</c:formatCode>
                <c:ptCount val="121"/>
                <c:pt idx="0">
                  <c:v>0.62084014598540149</c:v>
                </c:pt>
                <c:pt idx="1">
                  <c:v>0.63580615434796894</c:v>
                </c:pt>
                <c:pt idx="2">
                  <c:v>0.65095777463086424</c:v>
                </c:pt>
                <c:pt idx="3">
                  <c:v>0.66629795613565013</c:v>
                </c:pt>
                <c:pt idx="4">
                  <c:v>0.68182969502714963</c:v>
                </c:pt>
                <c:pt idx="5">
                  <c:v>0.69755603507808484</c:v>
                </c:pt>
                <c:pt idx="6">
                  <c:v>0.71348006842554834</c:v>
                </c:pt>
                <c:pt idx="7">
                  <c:v>0.72960493633949408</c:v>
                </c:pt>
                <c:pt idx="8">
                  <c:v>0.74593383000343949</c:v>
                </c:pt>
                <c:pt idx="9">
                  <c:v>0.76246999130757265</c:v>
                </c:pt>
                <c:pt idx="10">
                  <c:v>0.7792167136544621</c:v>
                </c:pt>
                <c:pt idx="11">
                  <c:v>0.79617734277756802</c:v>
                </c:pt>
                <c:pt idx="12">
                  <c:v>0.81335527757276038</c:v>
                </c:pt>
                <c:pt idx="13">
                  <c:v>0.8307539709430487</c:v>
                </c:pt>
                <c:pt idx="14">
                  <c:v>0.84837693065673436</c:v>
                </c:pt>
                <c:pt idx="15">
                  <c:v>0.8662277202191998</c:v>
                </c:pt>
                <c:pt idx="16">
                  <c:v>0.88430995975854798</c:v>
                </c:pt>
                <c:pt idx="17">
                  <c:v>0.90262732692531622</c:v>
                </c:pt>
                <c:pt idx="18">
                  <c:v>0.92118355780648553</c:v>
                </c:pt>
                <c:pt idx="19">
                  <c:v>0.93998244785401242</c:v>
                </c:pt>
                <c:pt idx="20">
                  <c:v>0.95902785282811598</c:v>
                </c:pt>
                <c:pt idx="21">
                  <c:v>0.97832368975555228</c:v>
                </c:pt>
                <c:pt idx="22">
                  <c:v>0.99787393790311674</c:v>
                </c:pt>
                <c:pt idx="23">
                  <c:v>1.0176826397666134</c:v>
                </c:pt>
                <c:pt idx="24">
                  <c:v>1.0377539020755397</c:v>
                </c:pt>
                <c:pt idx="25">
                  <c:v>1.0580918968137356</c:v>
                </c:pt>
                <c:pt idx="26">
                  <c:v>1.0787008622562488</c:v>
                </c:pt>
                <c:pt idx="27">
                  <c:v>1.0995851040226765</c:v>
                </c:pt>
                <c:pt idx="28">
                  <c:v>1.1207489961472457</c:v>
                </c:pt>
                <c:pt idx="29">
                  <c:v>1.1421969821658928</c:v>
                </c:pt>
                <c:pt idx="30">
                  <c:v>1.1639335762206211</c:v>
                </c:pt>
                <c:pt idx="31">
                  <c:v>1.1859633641814025</c:v>
                </c:pt>
                <c:pt idx="32">
                  <c:v>1.2082910047859072</c:v>
                </c:pt>
                <c:pt idx="33">
                  <c:v>1.2309212307973445</c:v>
                </c:pt>
                <c:pt idx="34">
                  <c:v>1.253858850180698</c:v>
                </c:pt>
                <c:pt idx="35">
                  <c:v>1.2771087472976541</c:v>
                </c:pt>
                <c:pt idx="36">
                  <c:v>1.3006758841205157</c:v>
                </c:pt>
                <c:pt idx="37">
                  <c:v>1.3245653014654049</c:v>
                </c:pt>
                <c:pt idx="38">
                  <c:v>1.3487821202450605</c:v>
                </c:pt>
                <c:pt idx="39">
                  <c:v>1.3733315427415422</c:v>
                </c:pt>
                <c:pt idx="40">
                  <c:v>1.3982188538991585</c:v>
                </c:pt>
                <c:pt idx="41">
                  <c:v>1.4234494226379362</c:v>
                </c:pt>
                <c:pt idx="42">
                  <c:v>1.4490287031879634</c:v>
                </c:pt>
                <c:pt idx="43">
                  <c:v>1.4749622364449335</c:v>
                </c:pt>
                <c:pt idx="44">
                  <c:v>1.5012556513472268</c:v>
                </c:pt>
                <c:pt idx="45">
                  <c:v>1.5279146662748755</c:v>
                </c:pt>
                <c:pt idx="46">
                  <c:v>1.5549448588861861</c:v>
                </c:pt>
                <c:pt idx="47">
                  <c:v>1.5823470545108835</c:v>
                </c:pt>
                <c:pt idx="48">
                  <c:v>1.6101203088478873</c:v>
                </c:pt>
                <c:pt idx="49">
                  <c:v>1.6382620580125113</c:v>
                </c:pt>
                <c:pt idx="50">
                  <c:v>1.6667683379793554</c:v>
                </c:pt>
                <c:pt idx="51">
                  <c:v>1.6956340545733277</c:v>
                </c:pt>
                <c:pt idx="52">
                  <c:v>1.7248532819984814</c:v>
                </c:pt>
                <c:pt idx="53">
                  <c:v>1.7544195671558411</c:v>
                </c:pt>
                <c:pt idx="54">
                  <c:v>1.7843262187332485</c:v>
                </c:pt>
                <c:pt idx="55">
                  <c:v>1.8145665638486315</c:v>
                </c:pt>
                <c:pt idx="56">
                  <c:v>1.8451341601284965</c:v>
                </c:pt>
                <c:pt idx="57">
                  <c:v>1.8760229565811488</c:v>
                </c:pt>
                <c:pt idx="58">
                  <c:v>1.9072274016319635</c:v>
                </c:pt>
                <c:pt idx="59">
                  <c:v>1.9387425006429415</c:v>
                </c:pt>
                <c:pt idx="60">
                  <c:v>1.970563827899674</c:v>
                </c:pt>
                <c:pt idx="61">
                  <c:v>2.0026874994802228</c:v>
                </c:pt>
                <c:pt idx="62">
                  <c:v>2.0351101138826322</c:v>
                </c:pt>
                <c:pt idx="63">
                  <c:v>2.0678286671099397</c:v>
                </c:pt>
                <c:pt idx="64">
                  <c:v>2.1008404483922831</c:v>
                </c:pt>
                <c:pt idx="65">
                  <c:v>2.1341429220809141</c:v>
                </c:pt>
                <c:pt idx="66">
                  <c:v>2.1677336006025585</c:v>
                </c:pt>
                <c:pt idx="67">
                  <c:v>2.2016099127647899</c:v>
                </c:pt>
                <c:pt idx="68">
                  <c:v>2.2357690711582916</c:v>
                </c:pt>
                <c:pt idx="69">
                  <c:v>2.2702079418943728</c:v>
                </c:pt>
                <c:pt idx="70">
                  <c:v>2.3049229194279204</c:v>
                </c:pt>
                <c:pt idx="71">
                  <c:v>2.3399098087358081</c:v>
                </c:pt>
                <c:pt idx="72">
                  <c:v>2.3751637166464818</c:v>
                </c:pt>
                <c:pt idx="73">
                  <c:v>2.4106789536535596</c:v>
                </c:pt>
                <c:pt idx="74">
                  <c:v>2.4464489471050381</c:v>
                </c:pt>
                <c:pt idx="75">
                  <c:v>2.4824661662519025</c:v>
                </c:pt>
                <c:pt idx="76">
                  <c:v>2.5187220592767909</c:v>
                </c:pt>
                <c:pt idx="77">
                  <c:v>2.5552070021137157</c:v>
                </c:pt>
                <c:pt idx="78">
                  <c:v>2.5919102586196119</c:v>
                </c:pt>
                <c:pt idx="79">
                  <c:v>2.6288199514704123</c:v>
                </c:pt>
                <c:pt idx="80">
                  <c:v>2.6659230430280338</c:v>
                </c:pt>
                <c:pt idx="81">
                  <c:v>2.70320532535706</c:v>
                </c:pt>
                <c:pt idx="82">
                  <c:v>2.7406514185556006</c:v>
                </c:pt>
                <c:pt idx="83">
                  <c:v>2.7782447765966385</c:v>
                </c:pt>
                <c:pt idx="84">
                  <c:v>2.8159676999456811</c:v>
                </c:pt>
                <c:pt idx="85">
                  <c:v>2.8538013543185063</c:v>
                </c:pt>
                <c:pt idx="86">
                  <c:v>2.8917257950598674</c:v>
                </c:pt>
                <c:pt idx="87">
                  <c:v>2.929719996750991</c:v>
                </c:pt>
                <c:pt idx="88">
                  <c:v>2.9677618877821468</c:v>
                </c:pt>
                <c:pt idx="89">
                  <c:v>3.0058283897489932</c:v>
                </c:pt>
                <c:pt idx="90">
                  <c:v>3.0438954616415419</c:v>
                </c:pt>
                <c:pt idx="91">
                  <c:v>3.0819381488875668</c:v>
                </c:pt>
                <c:pt idx="92">
                  <c:v>3.1199306373845626</c:v>
                </c:pt>
                <c:pt idx="93">
                  <c:v>3.1578463127036578</c:v>
                </c:pt>
                <c:pt idx="94">
                  <c:v>3.195657824674274</c:v>
                </c:pt>
                <c:pt idx="95">
                  <c:v>3.2333371575597063</c:v>
                </c:pt>
                <c:pt idx="96">
                  <c:v>3.2708557060121</c:v>
                </c:pt>
                <c:pt idx="97">
                  <c:v>3.3081843569521006</c:v>
                </c:pt>
                <c:pt idx="98">
                  <c:v>3.3452935774558101</c:v>
                </c:pt>
                <c:pt idx="99">
                  <c:v>3.3821535086521575</c:v>
                </c:pt>
                <c:pt idx="100">
                  <c:v>3.4187340655401091</c:v>
                </c:pt>
                <c:pt idx="101">
                  <c:v>3.4550050425303347</c:v>
                </c:pt>
                <c:pt idx="102">
                  <c:v>3.4909362244030167</c:v>
                </c:pt>
                <c:pt idx="103">
                  <c:v>3.5264975022556486</c:v>
                </c:pt>
                <c:pt idx="104">
                  <c:v>3.5616589938949832</c:v>
                </c:pt>
                <c:pt idx="105">
                  <c:v>3.5963911680088874</c:v>
                </c:pt>
                <c:pt idx="106">
                  <c:v>3.630664971339745</c:v>
                </c:pt>
                <c:pt idx="107">
                  <c:v>3.6644519579740797</c:v>
                </c:pt>
                <c:pt idx="108">
                  <c:v>3.6977244197660406</c:v>
                </c:pt>
                <c:pt idx="109">
                  <c:v>3.7304555168277225</c:v>
                </c:pt>
                <c:pt idx="110">
                  <c:v>3.7626194069493706</c:v>
                </c:pt>
                <c:pt idx="111">
                  <c:v>3.7941913727592258</c:v>
                </c:pt>
                <c:pt idx="112">
                  <c:v>3.8251719305205141</c:v>
                </c:pt>
                <c:pt idx="113">
                  <c:v>3.8555698992970875</c:v>
                </c:pt>
                <c:pt idx="114">
                  <c:v>3.8853938694282184</c:v>
                </c:pt>
                <c:pt idx="115">
                  <c:v>3.9146522563415966</c:v>
                </c:pt>
                <c:pt idx="116">
                  <c:v>3.9433533426550196</c:v>
                </c:pt>
                <c:pt idx="117">
                  <c:v>3.9715053110322129</c:v>
                </c:pt>
                <c:pt idx="118">
                  <c:v>3.9991162696811378</c:v>
                </c:pt>
                <c:pt idx="119">
                  <c:v>4.026194271958409</c:v>
                </c:pt>
                <c:pt idx="120">
                  <c:v>4.0527473312265752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53-4A3A-97D3-598F5F5FC6CC}"/>
            </c:ext>
          </c:extLst>
        </c:ser>
        <c:ser>
          <c:idx val="1"/>
          <c:order val="4"/>
          <c:tx>
            <c:v>EFFICIENCY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EFFICIENCY!$O$6:$O$126</c:f>
              <c:numCache>
                <c:formatCode>0.000</c:formatCode>
                <c:ptCount val="121"/>
                <c:pt idx="0">
                  <c:v>0.62084014598540149</c:v>
                </c:pt>
                <c:pt idx="1">
                  <c:v>0.63551979208984921</c:v>
                </c:pt>
                <c:pt idx="2">
                  <c:v>0.65038955527175557</c:v>
                </c:pt>
                <c:pt idx="3">
                  <c:v>0.66545260749986135</c:v>
                </c:pt>
                <c:pt idx="4">
                  <c:v>0.68071217366495818</c:v>
                </c:pt>
                <c:pt idx="5">
                  <c:v>0.69617153246285601</c:v>
                </c:pt>
                <c:pt idx="6">
                  <c:v>0.71183401729208129</c:v>
                </c:pt>
                <c:pt idx="7">
                  <c:v>0.72770301716655317</c:v>
                </c:pt>
                <c:pt idx="8">
                  <c:v>0.74378197764348697</c:v>
                </c:pt>
                <c:pt idx="9">
                  <c:v>0.76007440176677887</c:v>
                </c:pt>
                <c:pt idx="10">
                  <c:v>0.77658385102613081</c:v>
                </c:pt>
                <c:pt idx="11">
                  <c:v>0.793313946332177</c:v>
                </c:pt>
                <c:pt idx="12">
                  <c:v>0.81026836900788024</c:v>
                </c:pt>
                <c:pt idx="13">
                  <c:v>0.82745086179646854</c:v>
                </c:pt>
                <c:pt idx="14">
                  <c:v>0.84486522988618917</c:v>
                </c:pt>
                <c:pt idx="15">
                  <c:v>0.86251534195215951</c:v>
                </c:pt>
                <c:pt idx="16">
                  <c:v>0.88040513121559993</c:v>
                </c:pt>
                <c:pt idx="17">
                  <c:v>0.89853859652074064</c:v>
                </c:pt>
                <c:pt idx="18">
                  <c:v>0.91691980342969426</c:v>
                </c:pt>
                <c:pt idx="19">
                  <c:v>0.935552885335597</c:v>
                </c:pt>
                <c:pt idx="20">
                  <c:v>0.95444204459432125</c:v>
                </c:pt>
                <c:pt idx="21">
                  <c:v>0.97359155367506967</c:v>
                </c:pt>
                <c:pt idx="22">
                  <c:v>0.99300575633016619</c:v>
                </c:pt>
                <c:pt idx="23">
                  <c:v>1.0126890687843653</c:v>
                </c:pt>
                <c:pt idx="24">
                  <c:v>1.0326459809440025</c:v>
                </c:pt>
                <c:pt idx="25">
                  <c:v>1.0528810576263192</c:v>
                </c:pt>
                <c:pt idx="26">
                  <c:v>1.0733989398092985</c:v>
                </c:pt>
                <c:pt idx="27">
                  <c:v>1.0942043459023529</c:v>
                </c:pt>
                <c:pt idx="28">
                  <c:v>1.1153020730382133</c:v>
                </c:pt>
                <c:pt idx="29">
                  <c:v>1.1366969983863713</c:v>
                </c:pt>
                <c:pt idx="30">
                  <c:v>1.1583940804884358</c:v>
                </c:pt>
                <c:pt idx="31">
                  <c:v>1.18039836061577</c:v>
                </c:pt>
                <c:pt idx="32">
                  <c:v>1.202714964149777</c:v>
                </c:pt>
                <c:pt idx="33">
                  <c:v>1.2253491019852183</c:v>
                </c:pt>
                <c:pt idx="34">
                  <c:v>1.2483060719569423</c:v>
                </c:pt>
                <c:pt idx="35">
                  <c:v>1.271591260290418</c:v>
                </c:pt>
                <c:pt idx="36">
                  <c:v>1.2952101430764713</c:v>
                </c:pt>
                <c:pt idx="37">
                  <c:v>1.3191682877706223</c:v>
                </c:pt>
                <c:pt idx="38">
                  <c:v>1.3434713547174428</c:v>
                </c:pt>
                <c:pt idx="39">
                  <c:v>1.3681250987003433</c:v>
                </c:pt>
                <c:pt idx="40">
                  <c:v>1.389850698984372</c:v>
                </c:pt>
                <c:pt idx="41">
                  <c:v>1.4117682357758599</c:v>
                </c:pt>
                <c:pt idx="42">
                  <c:v>1.4338967357766965</c:v>
                </c:pt>
                <c:pt idx="43">
                  <c:v>1.456254780245521</c:v>
                </c:pt>
                <c:pt idx="44">
                  <c:v>1.478860556682225</c:v>
                </c:pt>
                <c:pt idx="45">
                  <c:v>1.5017319061044998</c:v>
                </c:pt>
                <c:pt idx="46">
                  <c:v>1.5248863664465175</c:v>
                </c:pt>
                <c:pt idx="47">
                  <c:v>1.5483408750148244</c:v>
                </c:pt>
                <c:pt idx="48">
                  <c:v>1.5721079026820977</c:v>
                </c:pt>
                <c:pt idx="49">
                  <c:v>1.5961994889361726</c:v>
                </c:pt>
                <c:pt idx="50">
                  <c:v>1.6206272507600294</c:v>
                </c:pt>
                <c:pt idx="51">
                  <c:v>1.6454023895346495</c:v>
                </c:pt>
                <c:pt idx="52">
                  <c:v>1.6705356961352515</c:v>
                </c:pt>
                <c:pt idx="53">
                  <c:v>1.6960375543735295</c:v>
                </c:pt>
                <c:pt idx="54">
                  <c:v>1.7219179429234766</c:v>
                </c:pt>
                <c:pt idx="55">
                  <c:v>1.748186435855752</c:v>
                </c:pt>
                <c:pt idx="56">
                  <c:v>1.774852201894938</c:v>
                </c:pt>
                <c:pt idx="57">
                  <c:v>1.8019240025051386</c:v>
                </c:pt>
                <c:pt idx="58">
                  <c:v>1.8294101889019529</c:v>
                </c:pt>
                <c:pt idx="59">
                  <c:v>1.8573186980826817</c:v>
                </c:pt>
                <c:pt idx="60">
                  <c:v>1.8856570479615373</c:v>
                </c:pt>
                <c:pt idx="61">
                  <c:v>1.9144323316924801</c:v>
                </c:pt>
                <c:pt idx="62">
                  <c:v>1.9436512112589341</c:v>
                </c:pt>
                <c:pt idx="63">
                  <c:v>1.9733199104069983</c:v>
                </c:pt>
                <c:pt idx="64">
                  <c:v>2.0034442069966967</c:v>
                </c:pt>
                <c:pt idx="65">
                  <c:v>2.0340294248442703</c:v>
                </c:pt>
                <c:pt idx="66">
                  <c:v>2.065080425127404</c:v>
                </c:pt>
                <c:pt idx="67">
                  <c:v>2.0966015974245455</c:v>
                </c:pt>
                <c:pt idx="68">
                  <c:v>2.1285968504590436</c:v>
                </c:pt>
                <c:pt idx="69">
                  <c:v>2.1610696026186429</c:v>
                </c:pt>
                <c:pt idx="70">
                  <c:v>2.1940227723208978</c:v>
                </c:pt>
                <c:pt idx="71">
                  <c:v>2.2274587682952349</c:v>
                </c:pt>
                <c:pt idx="72">
                  <c:v>2.2613794798526365</c:v>
                </c:pt>
                <c:pt idx="73">
                  <c:v>2.2957862672142708</c:v>
                </c:pt>
                <c:pt idx="74">
                  <c:v>2.3306799519706987</c:v>
                </c:pt>
                <c:pt idx="75">
                  <c:v>2.3660608077436209</c:v>
                </c:pt>
                <c:pt idx="76">
                  <c:v>2.4019285511223631</c:v>
                </c:pt>
                <c:pt idx="77">
                  <c:v>2.4382823329474479</c:v>
                </c:pt>
                <c:pt idx="78">
                  <c:v>2.4751207300136082</c:v>
                </c:pt>
                <c:pt idx="79">
                  <c:v>2.5124417372644547</c:v>
                </c:pt>
                <c:pt idx="80">
                  <c:v>2.550242760550625</c:v>
                </c:pt>
                <c:pt idx="81">
                  <c:v>2.5885206100226861</c:v>
                </c:pt>
                <c:pt idx="82">
                  <c:v>2.627271494229193</c:v>
                </c:pt>
                <c:pt idx="83">
                  <c:v>2.6664910149891869</c:v>
                </c:pt>
                <c:pt idx="84">
                  <c:v>2.7061741631069816</c:v>
                </c:pt>
                <c:pt idx="85">
                  <c:v>2.7463153149953259</c:v>
                </c:pt>
                <c:pt idx="86">
                  <c:v>2.7869082302709165</c:v>
                </c:pt>
                <c:pt idx="87">
                  <c:v>2.8279460503837659</c:v>
                </c:pt>
                <c:pt idx="88">
                  <c:v>2.8694212983391032</c:v>
                </c:pt>
                <c:pt idx="89">
                  <c:v>2.9113258795672339</c:v>
                </c:pt>
                <c:pt idx="90">
                  <c:v>2.9536510839932122</c:v>
                </c:pt>
                <c:pt idx="91">
                  <c:v>2.9963875893541414</c:v>
                </c:pt>
                <c:pt idx="92">
                  <c:v>3.0395254658075688</c:v>
                </c:pt>
                <c:pt idx="93">
                  <c:v>3.083054181869656</c:v>
                </c:pt>
                <c:pt idx="94">
                  <c:v>3.1269626117166855</c:v>
                </c:pt>
                <c:pt idx="95">
                  <c:v>3.1712390438779807</c:v>
                </c:pt>
                <c:pt idx="96">
                  <c:v>3.2158711913424898</c:v>
                </c:pt>
                <c:pt idx="97">
                  <c:v>3.2608462030951628</c:v>
                </c:pt>
                <c:pt idx="98">
                  <c:v>3.3061506770928442</c:v>
                </c:pt>
                <c:pt idx="99">
                  <c:v>3.3517706746827205</c:v>
                </c:pt>
                <c:pt idx="100">
                  <c:v>3.3976917364595054</c:v>
                </c:pt>
                <c:pt idx="101">
                  <c:v>3.4438988995504798</c:v>
                </c:pt>
                <c:pt idx="102">
                  <c:v>3.4903767163103092</c:v>
                </c:pt>
                <c:pt idx="103">
                  <c:v>3.5371092744003017</c:v>
                </c:pt>
                <c:pt idx="104">
                  <c:v>3.5840802182194254</c:v>
                </c:pt>
                <c:pt idx="105">
                  <c:v>3.631272771647132</c:v>
                </c:pt>
                <c:pt idx="106">
                  <c:v>3.6786697620507631</c:v>
                </c:pt>
                <c:pt idx="107">
                  <c:v>3.726253645503208</c:v>
                </c:pt>
                <c:pt idx="108">
                  <c:v>3.7740065331495236</c:v>
                </c:pt>
                <c:pt idx="109">
                  <c:v>3.8219102186545051</c:v>
                </c:pt>
                <c:pt idx="110">
                  <c:v>3.8699462066567492</c:v>
                </c:pt>
                <c:pt idx="111">
                  <c:v>3.9180957421486413</c:v>
                </c:pt>
                <c:pt idx="112">
                  <c:v>3.9663398406959836</c:v>
                </c:pt>
                <c:pt idx="113">
                  <c:v>4.0146593194056743</c:v>
                </c:pt>
                <c:pt idx="114">
                  <c:v>4.0630348285450566</c:v>
                </c:pt>
                <c:pt idx="115">
                  <c:v>4.1114468837122677</c:v>
                </c:pt>
                <c:pt idx="116">
                  <c:v>4.1598758984531905</c:v>
                </c:pt>
                <c:pt idx="117">
                  <c:v>4.2083022172175015</c:v>
                </c:pt>
                <c:pt idx="118">
                  <c:v>4.2567061485437927</c:v>
                </c:pt>
                <c:pt idx="119">
                  <c:v>4.3050679983619196</c:v>
                </c:pt>
                <c:pt idx="120">
                  <c:v>4.3533681032995384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53-4A3A-97D3-598F5F5F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15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TEMPERATURE CHANGE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GROWTH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6.9160579174130488E-2"/>
          <c:w val="0.683054052695515"/>
          <c:h val="0.80889968501414766"/>
        </c:manualLayout>
      </c:layout>
      <c:scatterChart>
        <c:scatterStyle val="smoothMarker"/>
        <c:varyColors val="0"/>
        <c:ser>
          <c:idx val="2"/>
          <c:order val="0"/>
          <c:tx>
            <c:v>DATA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DATA!$N$8:$N$51</c:f>
              <c:numCache>
                <c:formatCode>0.00%</c:formatCode>
                <c:ptCount val="44"/>
                <c:pt idx="1">
                  <c:v>1.9398064946125011E-2</c:v>
                </c:pt>
                <c:pt idx="2">
                  <c:v>3.5540828762673699E-3</c:v>
                </c:pt>
                <c:pt idx="3">
                  <c:v>2.6322679805094212E-2</c:v>
                </c:pt>
                <c:pt idx="4">
                  <c:v>4.6756662079448542E-2</c:v>
                </c:pt>
                <c:pt idx="5">
                  <c:v>3.7083064916048861E-2</c:v>
                </c:pt>
                <c:pt idx="6">
                  <c:v>3.2336002412406202E-2</c:v>
                </c:pt>
                <c:pt idx="7">
                  <c:v>3.7534088592370451E-2</c:v>
                </c:pt>
                <c:pt idx="8">
                  <c:v>4.5489272418664718E-2</c:v>
                </c:pt>
                <c:pt idx="9">
                  <c:v>3.7241568009484638E-2</c:v>
                </c:pt>
                <c:pt idx="10">
                  <c:v>2.7212698069794147E-2</c:v>
                </c:pt>
                <c:pt idx="11">
                  <c:v>1.2107011644603826E-2</c:v>
                </c:pt>
                <c:pt idx="12">
                  <c:v>2.022340252407805E-2</c:v>
                </c:pt>
                <c:pt idx="13">
                  <c:v>1.8404479313940923E-2</c:v>
                </c:pt>
                <c:pt idx="14">
                  <c:v>3.3423300675059088E-2</c:v>
                </c:pt>
                <c:pt idx="15">
                  <c:v>3.0975790148141464E-2</c:v>
                </c:pt>
                <c:pt idx="16">
                  <c:v>3.5822859004339284E-2</c:v>
                </c:pt>
                <c:pt idx="17">
                  <c:v>3.9533668673559515E-2</c:v>
                </c:pt>
                <c:pt idx="18">
                  <c:v>2.8431222332325666E-2</c:v>
                </c:pt>
                <c:pt idx="19">
                  <c:v>3.5890734837021813E-2</c:v>
                </c:pt>
                <c:pt idx="20">
                  <c:v>4.5329180686466117E-2</c:v>
                </c:pt>
                <c:pt idx="21">
                  <c:v>2.0336248492487295E-2</c:v>
                </c:pt>
                <c:pt idx="22">
                  <c:v>2.3164503433078552E-2</c:v>
                </c:pt>
                <c:pt idx="23">
                  <c:v>3.0936689033455415E-2</c:v>
                </c:pt>
                <c:pt idx="24">
                  <c:v>4.4739697006048885E-2</c:v>
                </c:pt>
                <c:pt idx="25">
                  <c:v>4.0204874684196014E-2</c:v>
                </c:pt>
                <c:pt idx="26">
                  <c:v>4.4605928968522189E-2</c:v>
                </c:pt>
                <c:pt idx="27">
                  <c:v>4.3731973398878542E-2</c:v>
                </c:pt>
                <c:pt idx="28">
                  <c:v>2.0561528096268489E-2</c:v>
                </c:pt>
                <c:pt idx="29">
                  <c:v>-1.3423700134518419E-2</c:v>
                </c:pt>
                <c:pt idx="30">
                  <c:v>4.5174304680099524E-2</c:v>
                </c:pt>
                <c:pt idx="31">
                  <c:v>3.3362861936586045E-2</c:v>
                </c:pt>
                <c:pt idx="32">
                  <c:v>2.6919608530073337E-2</c:v>
                </c:pt>
                <c:pt idx="33">
                  <c:v>2.8728390003976211E-2</c:v>
                </c:pt>
                <c:pt idx="34">
                  <c:v>3.1314755660858673E-2</c:v>
                </c:pt>
                <c:pt idx="35">
                  <c:v>3.1287868924936978E-2</c:v>
                </c:pt>
                <c:pt idx="36">
                  <c:v>2.8137359738847682E-2</c:v>
                </c:pt>
                <c:pt idx="37">
                  <c:v>3.4514461231730777E-2</c:v>
                </c:pt>
                <c:pt idx="38">
                  <c:v>3.2821969971697194E-2</c:v>
                </c:pt>
                <c:pt idx="39">
                  <c:v>2.6759662924995826E-2</c:v>
                </c:pt>
                <c:pt idx="40">
                  <c:v>-2.8783231964721011E-2</c:v>
                </c:pt>
                <c:pt idx="41">
                  <c:v>6.3500895764049242E-2</c:v>
                </c:pt>
                <c:pt idx="42">
                  <c:v>3.2380212620173841E-2</c:v>
                </c:pt>
                <c:pt idx="43">
                  <c:v>2.8335087034600661E-2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20-4292-9FE3-188184A4B04D}"/>
            </c:ext>
          </c:extLst>
        </c:ser>
        <c:ser>
          <c:idx val="3"/>
          <c:order val="1"/>
          <c:tx>
            <c:v>BAU+</c:v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BAU!$A$5:$A$125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BAU!$D$5:$D$125</c:f>
              <c:numCache>
                <c:formatCode>0.000</c:formatCode>
                <c:ptCount val="121"/>
                <c:pt idx="0">
                  <c:v>0.03</c:v>
                </c:pt>
                <c:pt idx="1">
                  <c:v>0.03</c:v>
                </c:pt>
                <c:pt idx="2">
                  <c:v>3.0000000000000065E-2</c:v>
                </c:pt>
                <c:pt idx="3">
                  <c:v>2.9999999999999926E-2</c:v>
                </c:pt>
                <c:pt idx="4">
                  <c:v>3.0000000000000047E-2</c:v>
                </c:pt>
                <c:pt idx="5">
                  <c:v>0.03</c:v>
                </c:pt>
                <c:pt idx="6">
                  <c:v>2.9999999999999839E-2</c:v>
                </c:pt>
                <c:pt idx="7">
                  <c:v>3.0000000000000141E-2</c:v>
                </c:pt>
                <c:pt idx="8">
                  <c:v>3.0000000000000065E-2</c:v>
                </c:pt>
                <c:pt idx="9">
                  <c:v>2.9999999999999829E-2</c:v>
                </c:pt>
                <c:pt idx="10">
                  <c:v>2.9999999999999961E-2</c:v>
                </c:pt>
                <c:pt idx="11">
                  <c:v>2.9999999999999957E-2</c:v>
                </c:pt>
                <c:pt idx="12">
                  <c:v>2.9999999999999805E-2</c:v>
                </c:pt>
                <c:pt idx="13">
                  <c:v>2.9999999999999777E-2</c:v>
                </c:pt>
                <c:pt idx="14">
                  <c:v>2.9999999999999871E-2</c:v>
                </c:pt>
                <c:pt idx="15">
                  <c:v>3.0000000000000172E-2</c:v>
                </c:pt>
                <c:pt idx="16">
                  <c:v>3.0000000000000013E-2</c:v>
                </c:pt>
                <c:pt idx="17">
                  <c:v>3.0000000000000058E-2</c:v>
                </c:pt>
                <c:pt idx="18">
                  <c:v>2.9999999999999919E-2</c:v>
                </c:pt>
                <c:pt idx="19">
                  <c:v>3.0000000000000158E-2</c:v>
                </c:pt>
                <c:pt idx="20">
                  <c:v>2.9999999999999985E-2</c:v>
                </c:pt>
                <c:pt idx="21">
                  <c:v>3.000000000000002E-2</c:v>
                </c:pt>
                <c:pt idx="22">
                  <c:v>3.0000000000000037E-2</c:v>
                </c:pt>
                <c:pt idx="23">
                  <c:v>3.0000000000000106E-2</c:v>
                </c:pt>
                <c:pt idx="24">
                  <c:v>3.0000000000000068E-2</c:v>
                </c:pt>
                <c:pt idx="25">
                  <c:v>3.0000000000000058E-2</c:v>
                </c:pt>
                <c:pt idx="26">
                  <c:v>2.999999999999995E-2</c:v>
                </c:pt>
                <c:pt idx="27">
                  <c:v>2.9999999999999926E-2</c:v>
                </c:pt>
                <c:pt idx="28">
                  <c:v>2.999999999999995E-2</c:v>
                </c:pt>
                <c:pt idx="29">
                  <c:v>2.999999999999993E-2</c:v>
                </c:pt>
                <c:pt idx="30">
                  <c:v>3.0000000000000044E-2</c:v>
                </c:pt>
                <c:pt idx="31">
                  <c:v>3.0000000000000145E-2</c:v>
                </c:pt>
                <c:pt idx="32">
                  <c:v>3.0000000000000037E-2</c:v>
                </c:pt>
                <c:pt idx="33">
                  <c:v>2.9999999999999971E-2</c:v>
                </c:pt>
                <c:pt idx="34">
                  <c:v>2.9999999999999933E-2</c:v>
                </c:pt>
                <c:pt idx="35">
                  <c:v>2.9999999999999943E-2</c:v>
                </c:pt>
                <c:pt idx="36">
                  <c:v>2.9999999999999926E-2</c:v>
                </c:pt>
                <c:pt idx="37">
                  <c:v>3.000000000000011E-2</c:v>
                </c:pt>
                <c:pt idx="38">
                  <c:v>3.0000000000000006E-2</c:v>
                </c:pt>
                <c:pt idx="39">
                  <c:v>2.9999999999999995E-2</c:v>
                </c:pt>
                <c:pt idx="40">
                  <c:v>3.0000000000000082E-2</c:v>
                </c:pt>
                <c:pt idx="41">
                  <c:v>3.0000000000000086E-2</c:v>
                </c:pt>
                <c:pt idx="42">
                  <c:v>3.000000000000003E-2</c:v>
                </c:pt>
                <c:pt idx="43">
                  <c:v>3.0000000000000009E-2</c:v>
                </c:pt>
                <c:pt idx="44">
                  <c:v>3.0000000000000075E-2</c:v>
                </c:pt>
                <c:pt idx="45">
                  <c:v>2.9981165229791582E-2</c:v>
                </c:pt>
                <c:pt idx="46">
                  <c:v>2.9581280005876807E-2</c:v>
                </c:pt>
                <c:pt idx="47">
                  <c:v>2.9175827116707138E-2</c:v>
                </c:pt>
                <c:pt idx="48">
                  <c:v>2.8764793080031853E-2</c:v>
                </c:pt>
                <c:pt idx="49">
                  <c:v>2.8348167621435185E-2</c:v>
                </c:pt>
                <c:pt idx="50">
                  <c:v>2.7925943784754905E-2</c:v>
                </c:pt>
                <c:pt idx="51">
                  <c:v>2.7498118041161375E-2</c:v>
                </c:pt>
                <c:pt idx="52">
                  <c:v>2.7064690396592098E-2</c:v>
                </c:pt>
                <c:pt idx="53">
                  <c:v>2.6625664497226944E-2</c:v>
                </c:pt>
                <c:pt idx="54">
                  <c:v>2.6181047732674472E-2</c:v>
                </c:pt>
                <c:pt idx="55">
                  <c:v>2.5730851336538858E-2</c:v>
                </c:pt>
                <c:pt idx="56">
                  <c:v>2.527509048402489E-2</c:v>
                </c:pt>
                <c:pt idx="57">
                  <c:v>2.4813784386229623E-2</c:v>
                </c:pt>
                <c:pt idx="58">
                  <c:v>2.43469563807731E-2</c:v>
                </c:pt>
                <c:pt idx="59">
                  <c:v>2.3874634018401428E-2</c:v>
                </c:pt>
                <c:pt idx="60">
                  <c:v>2.3396849145209259E-2</c:v>
                </c:pt>
                <c:pt idx="61">
                  <c:v>2.2913637980110625E-2</c:v>
                </c:pt>
                <c:pt idx="62">
                  <c:v>2.2425041187199183E-2</c:v>
                </c:pt>
                <c:pt idx="63">
                  <c:v>2.1931103942632271E-2</c:v>
                </c:pt>
                <c:pt idx="64">
                  <c:v>2.1431875995680166E-2</c:v>
                </c:pt>
                <c:pt idx="65">
                  <c:v>2.0927411723582912E-2</c:v>
                </c:pt>
                <c:pt idx="66">
                  <c:v>2.0417770179864229E-2</c:v>
                </c:pt>
                <c:pt idx="67">
                  <c:v>1.9903015135760645E-2</c:v>
                </c:pt>
                <c:pt idx="68">
                  <c:v>1.9383215114432847E-2</c:v>
                </c:pt>
                <c:pt idx="69">
                  <c:v>1.8858443417636078E-2</c:v>
                </c:pt>
                <c:pt idx="70">
                  <c:v>1.8328778144540224E-2</c:v>
                </c:pt>
                <c:pt idx="71">
                  <c:v>1.7794302202407145E-2</c:v>
                </c:pt>
                <c:pt idx="72">
                  <c:v>1.7255103308847823E-2</c:v>
                </c:pt>
                <c:pt idx="73">
                  <c:v>1.6711273985398255E-2</c:v>
                </c:pt>
                <c:pt idx="74">
                  <c:v>1.6162911542181579E-2</c:v>
                </c:pt>
                <c:pt idx="75">
                  <c:v>1.5610118053433895E-2</c:v>
                </c:pt>
                <c:pt idx="76">
                  <c:v>1.5053000323711398E-2</c:v>
                </c:pt>
                <c:pt idx="77">
                  <c:v>1.4491669844603134E-2</c:v>
                </c:pt>
                <c:pt idx="78">
                  <c:v>1.3926242741822102E-2</c:v>
                </c:pt>
                <c:pt idx="79">
                  <c:v>1.3356839712558298E-2</c:v>
                </c:pt>
                <c:pt idx="80">
                  <c:v>1.2783585953020662E-2</c:v>
                </c:pt>
                <c:pt idx="81">
                  <c:v>1.220661107611784E-2</c:v>
                </c:pt>
                <c:pt idx="82">
                  <c:v>1.162604901926961E-2</c:v>
                </c:pt>
                <c:pt idx="83">
                  <c:v>1.1042037942365841E-2</c:v>
                </c:pt>
                <c:pt idx="84">
                  <c:v>1.0454720115931857E-2</c:v>
                </c:pt>
                <c:pt idx="85">
                  <c:v>9.8642417995932069E-3</c:v>
                </c:pt>
                <c:pt idx="86">
                  <c:v>9.2707531109642513E-3</c:v>
                </c:pt>
                <c:pt idx="87">
                  <c:v>8.6744078851344816E-3</c:v>
                </c:pt>
                <c:pt idx="88">
                  <c:v>8.075363524944033E-3</c:v>
                </c:pt>
                <c:pt idx="89">
                  <c:v>7.473780842297436E-3</c:v>
                </c:pt>
                <c:pt idx="90">
                  <c:v>6.8698238907873143E-3</c:v>
                </c:pt>
                <c:pt idx="91">
                  <c:v>6.2636597899395456E-3</c:v>
                </c:pt>
                <c:pt idx="92">
                  <c:v>5.6554585414307097E-3</c:v>
                </c:pt>
                <c:pt idx="93">
                  <c:v>5.0453928376576213E-3</c:v>
                </c:pt>
                <c:pt idx="94">
                  <c:v>4.433637863077336E-3</c:v>
                </c:pt>
                <c:pt idx="95">
                  <c:v>3.8203710887636886E-3</c:v>
                </c:pt>
                <c:pt idx="96">
                  <c:v>3.2057720606597944E-3</c:v>
                </c:pt>
                <c:pt idx="97">
                  <c:v>2.5900221820362788E-3</c:v>
                </c:pt>
                <c:pt idx="98">
                  <c:v>1.9733044906862533E-3</c:v>
                </c:pt>
                <c:pt idx="99">
                  <c:v>1.3558034314191259E-3</c:v>
                </c:pt>
                <c:pt idx="100">
                  <c:v>7.3770462443574123E-4</c:v>
                </c:pt>
                <c:pt idx="101">
                  <c:v>1.1919463018118206E-4</c:v>
                </c:pt>
                <c:pt idx="102">
                  <c:v>-4.9953928869456317E-4</c:v>
                </c:pt>
                <c:pt idx="103">
                  <c:v>-1.1183094076474929E-3</c:v>
                </c:pt>
                <c:pt idx="104">
                  <c:v>-1.7369277821656197E-3</c:v>
                </c:pt>
                <c:pt idx="105">
                  <c:v>-2.3552064906597423E-3</c:v>
                </c:pt>
                <c:pt idx="106">
                  <c:v>-2.9729578776607939E-3</c:v>
                </c:pt>
                <c:pt idx="107">
                  <c:v>-3.5899947966541641E-3</c:v>
                </c:pt>
                <c:pt idx="108">
                  <c:v>-4.206130851895782E-3</c:v>
                </c:pt>
                <c:pt idx="109">
                  <c:v>-4.8211806385440705E-3</c:v>
                </c:pt>
                <c:pt idx="110">
                  <c:v>-5.43495998045747E-3</c:v>
                </c:pt>
                <c:pt idx="111">
                  <c:v>-6.0472861650168646E-3</c:v>
                </c:pt>
                <c:pt idx="112">
                  <c:v>-6.6579781743342677E-3</c:v>
                </c:pt>
                <c:pt idx="113">
                  <c:v>-7.2668569122413176E-3</c:v>
                </c:pt>
                <c:pt idx="114">
                  <c:v>-7.8737454264534296E-3</c:v>
                </c:pt>
                <c:pt idx="115">
                  <c:v>-8.4784691253371423E-3</c:v>
                </c:pt>
                <c:pt idx="116">
                  <c:v>-9.0808559887251023E-3</c:v>
                </c:pt>
                <c:pt idx="117">
                  <c:v>-9.6807367722542385E-3</c:v>
                </c:pt>
                <c:pt idx="118">
                  <c:v>-1.027794520472527E-2</c:v>
                </c:pt>
                <c:pt idx="119">
                  <c:v>-1.0872318178015296E-2</c:v>
                </c:pt>
                <c:pt idx="120">
                  <c:v>-1.1463695929109235E-2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C20-4292-9FE3-188184A4B04D}"/>
            </c:ext>
          </c:extLst>
        </c:ser>
        <c:ser>
          <c:idx val="1"/>
          <c:order val="2"/>
          <c:tx>
            <c:v>DECARBONISATION</c:v>
          </c:tx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DECARBONISATION!$A$8:$A$88</c:f>
              <c:numCache>
                <c:formatCode>General</c:formatCode>
                <c:ptCount val="8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  <c:pt idx="75">
                  <c:v>2095</c:v>
                </c:pt>
                <c:pt idx="76">
                  <c:v>2096</c:v>
                </c:pt>
                <c:pt idx="77">
                  <c:v>2097</c:v>
                </c:pt>
                <c:pt idx="78">
                  <c:v>2098</c:v>
                </c:pt>
                <c:pt idx="79">
                  <c:v>2099</c:v>
                </c:pt>
                <c:pt idx="80">
                  <c:v>2100</c:v>
                </c:pt>
              </c:numCache>
            </c:numRef>
          </c:xVal>
          <c:yVal>
            <c:numRef>
              <c:f>DECARBONISATION!$M$8:$M$88</c:f>
              <c:numCache>
                <c:formatCode>0.00%</c:formatCode>
                <c:ptCount val="81"/>
                <c:pt idx="1">
                  <c:v>2.999999999999993E-2</c:v>
                </c:pt>
                <c:pt idx="2">
                  <c:v>3.0000000000000037E-2</c:v>
                </c:pt>
                <c:pt idx="3">
                  <c:v>3.0000000000000013E-2</c:v>
                </c:pt>
                <c:pt idx="4">
                  <c:v>3.0000000000000082E-2</c:v>
                </c:pt>
                <c:pt idx="5">
                  <c:v>3.0000000000000065E-2</c:v>
                </c:pt>
                <c:pt idx="6">
                  <c:v>2.9976612916170903E-2</c:v>
                </c:pt>
                <c:pt idx="7">
                  <c:v>2.9693927586342123E-2</c:v>
                </c:pt>
                <c:pt idx="8">
                  <c:v>2.9419729427593921E-2</c:v>
                </c:pt>
                <c:pt idx="9">
                  <c:v>2.9153841138100045E-2</c:v>
                </c:pt>
                <c:pt idx="10">
                  <c:v>2.8896083784441359E-2</c:v>
                </c:pt>
                <c:pt idx="11">
                  <c:v>2.8646277255061369E-2</c:v>
                </c:pt>
                <c:pt idx="12">
                  <c:v>2.8404240687041105E-2</c:v>
                </c:pt>
                <c:pt idx="13">
                  <c:v>2.8169792866468719E-2</c:v>
                </c:pt>
                <c:pt idx="14">
                  <c:v>2.7942752602806587E-2</c:v>
                </c:pt>
                <c:pt idx="15">
                  <c:v>2.7722939077764772E-2</c:v>
                </c:pt>
                <c:pt idx="16">
                  <c:v>2.7510172169276072E-2</c:v>
                </c:pt>
                <c:pt idx="17">
                  <c:v>2.7304272751255066E-2</c:v>
                </c:pt>
                <c:pt idx="18">
                  <c:v>2.710506296987622E-2</c:v>
                </c:pt>
                <c:pt idx="19">
                  <c:v>2.6912366497174194E-2</c:v>
                </c:pt>
                <c:pt idx="20">
                  <c:v>2.6726008762807771E-2</c:v>
                </c:pt>
                <c:pt idx="21">
                  <c:v>2.6545817164856812E-2</c:v>
                </c:pt>
                <c:pt idx="22">
                  <c:v>2.6371621260556741E-2</c:v>
                </c:pt>
                <c:pt idx="23">
                  <c:v>2.6203252937888121E-2</c:v>
                </c:pt>
                <c:pt idx="24">
                  <c:v>2.6040546568942453E-2</c:v>
                </c:pt>
                <c:pt idx="25">
                  <c:v>2.5883339145993001E-2</c:v>
                </c:pt>
                <c:pt idx="26">
                  <c:v>2.5731470401202484E-2</c:v>
                </c:pt>
                <c:pt idx="27">
                  <c:v>2.5584782910871962E-2</c:v>
                </c:pt>
                <c:pt idx="28">
                  <c:v>2.5443122185146091E-2</c:v>
                </c:pt>
                <c:pt idx="29">
                  <c:v>2.5306336744048377E-2</c:v>
                </c:pt>
                <c:pt idx="30">
                  <c:v>2.517427818072638E-2</c:v>
                </c:pt>
                <c:pt idx="31">
                  <c:v>2.5046801212729671E-2</c:v>
                </c:pt>
                <c:pt idx="32">
                  <c:v>2.4923763722159004E-2</c:v>
                </c:pt>
                <c:pt idx="33">
                  <c:v>2.4805026785454674E-2</c:v>
                </c:pt>
                <c:pt idx="34">
                  <c:v>2.4690454693597038E-2</c:v>
                </c:pt>
                <c:pt idx="35">
                  <c:v>2.4579914963443181E-2</c:v>
                </c:pt>
                <c:pt idx="36">
                  <c:v>2.4473278340899969E-2</c:v>
                </c:pt>
                <c:pt idx="37">
                  <c:v>2.4370418796594646E-2</c:v>
                </c:pt>
                <c:pt idx="38">
                  <c:v>2.4271213514689808E-2</c:v>
                </c:pt>
                <c:pt idx="39">
                  <c:v>2.4175542875432852E-2</c:v>
                </c:pt>
                <c:pt idx="40">
                  <c:v>2.4083290432018678E-2</c:v>
                </c:pt>
                <c:pt idx="41">
                  <c:v>2.3994342882308312E-2</c:v>
                </c:pt>
                <c:pt idx="42">
                  <c:v>2.3908590035907139E-2</c:v>
                </c:pt>
                <c:pt idx="43">
                  <c:v>2.3825924777091133E-2</c:v>
                </c:pt>
                <c:pt idx="44">
                  <c:v>2.3746243024020147E-2</c:v>
                </c:pt>
                <c:pt idx="45">
                  <c:v>2.3669443684679051E-2</c:v>
                </c:pt>
                <c:pt idx="46">
                  <c:v>2.3595428609922565E-2</c:v>
                </c:pt>
                <c:pt idx="47">
                  <c:v>2.3524102544007178E-2</c:v>
                </c:pt>
                <c:pt idx="48">
                  <c:v>2.3455373072950293E-2</c:v>
                </c:pt>
                <c:pt idx="49">
                  <c:v>2.3389150571032611E-2</c:v>
                </c:pt>
                <c:pt idx="50">
                  <c:v>2.3325348145740898E-2</c:v>
                </c:pt>
                <c:pt idx="51">
                  <c:v>2.3263881581435178E-2</c:v>
                </c:pt>
                <c:pt idx="52">
                  <c:v>2.3204669281976328E-2</c:v>
                </c:pt>
                <c:pt idx="53">
                  <c:v>2.3147632212561449E-2</c:v>
                </c:pt>
                <c:pt idx="54">
                  <c:v>2.3092693840979228E-2</c:v>
                </c:pt>
                <c:pt idx="55">
                  <c:v>2.3039780078472401E-2</c:v>
                </c:pt>
                <c:pt idx="56">
                  <c:v>2.2988819220398454E-2</c:v>
                </c:pt>
                <c:pt idx="57">
                  <c:v>2.2939741886846179E-2</c:v>
                </c:pt>
                <c:pt idx="58">
                  <c:v>2.2892480963358226E-2</c:v>
                </c:pt>
                <c:pt idx="59">
                  <c:v>2.2846971541893208E-2</c:v>
                </c:pt>
                <c:pt idx="60">
                  <c:v>2.2803150862151771E-2</c:v>
                </c:pt>
                <c:pt idx="61">
                  <c:v>2.2760958253371873E-2</c:v>
                </c:pt>
                <c:pt idx="62">
                  <c:v>2.2720335076695342E-2</c:v>
                </c:pt>
                <c:pt idx="63">
                  <c:v>2.2681224668190791E-2</c:v>
                </c:pt>
                <c:pt idx="64">
                  <c:v>2.2643572282610568E-2</c:v>
                </c:pt>
                <c:pt idx="65">
                  <c:v>2.2607325037948503E-2</c:v>
                </c:pt>
                <c:pt idx="66">
                  <c:v>2.2572431860861532E-2</c:v>
                </c:pt>
                <c:pt idx="67">
                  <c:v>2.2538843433003643E-2</c:v>
                </c:pt>
                <c:pt idx="68">
                  <c:v>2.2506512138318373E-2</c:v>
                </c:pt>
                <c:pt idx="69">
                  <c:v>2.247539201132517E-2</c:v>
                </c:pt>
                <c:pt idx="70">
                  <c:v>2.2445438686435511E-2</c:v>
                </c:pt>
                <c:pt idx="71">
                  <c:v>2.241660934832055E-2</c:v>
                </c:pt>
                <c:pt idx="72">
                  <c:v>2.2388862683351433E-2</c:v>
                </c:pt>
                <c:pt idx="73">
                  <c:v>2.2362158832130771E-2</c:v>
                </c:pt>
                <c:pt idx="74">
                  <c:v>2.233645934312601E-2</c:v>
                </c:pt>
                <c:pt idx="75">
                  <c:v>2.231172712740561E-2</c:v>
                </c:pt>
                <c:pt idx="76">
                  <c:v>2.2287926414497936E-2</c:v>
                </c:pt>
                <c:pt idx="77">
                  <c:v>2.2265022709353124E-2</c:v>
                </c:pt>
                <c:pt idx="78">
                  <c:v>2.2242982750421761E-2</c:v>
                </c:pt>
                <c:pt idx="79">
                  <c:v>2.2221774468840143E-2</c:v>
                </c:pt>
                <c:pt idx="80">
                  <c:v>2.22013669487123E-2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D-4BF5-B689-ED44BE24FEC9}"/>
            </c:ext>
          </c:extLst>
        </c:ser>
        <c:ser>
          <c:idx val="4"/>
          <c:order val="3"/>
          <c:tx>
            <c:v>ADAPTATION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ADAPTATION!$A$5:$A$125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ADAPTATION!$F$5:$F$125</c:f>
              <c:numCache>
                <c:formatCode>0.000</c:formatCode>
                <c:ptCount val="121"/>
                <c:pt idx="0">
                  <c:v>0.03</c:v>
                </c:pt>
                <c:pt idx="1">
                  <c:v>0.03</c:v>
                </c:pt>
                <c:pt idx="2">
                  <c:v>3.0000000000000065E-2</c:v>
                </c:pt>
                <c:pt idx="3">
                  <c:v>2.9999999999999926E-2</c:v>
                </c:pt>
                <c:pt idx="4">
                  <c:v>3.0000000000000047E-2</c:v>
                </c:pt>
                <c:pt idx="5">
                  <c:v>0.03</c:v>
                </c:pt>
                <c:pt idx="6">
                  <c:v>2.9999999999999839E-2</c:v>
                </c:pt>
                <c:pt idx="7">
                  <c:v>3.0000000000000141E-2</c:v>
                </c:pt>
                <c:pt idx="8">
                  <c:v>3.0000000000000065E-2</c:v>
                </c:pt>
                <c:pt idx="9">
                  <c:v>2.9999999999999829E-2</c:v>
                </c:pt>
                <c:pt idx="10">
                  <c:v>2.9999999999999961E-2</c:v>
                </c:pt>
                <c:pt idx="11">
                  <c:v>2.9999999999999957E-2</c:v>
                </c:pt>
                <c:pt idx="12">
                  <c:v>2.9999999999999805E-2</c:v>
                </c:pt>
                <c:pt idx="13">
                  <c:v>2.9999999999999777E-2</c:v>
                </c:pt>
                <c:pt idx="14">
                  <c:v>2.9999999999999871E-2</c:v>
                </c:pt>
                <c:pt idx="15">
                  <c:v>3.0000000000000172E-2</c:v>
                </c:pt>
                <c:pt idx="16">
                  <c:v>3.0000000000000013E-2</c:v>
                </c:pt>
                <c:pt idx="17">
                  <c:v>3.0000000000000058E-2</c:v>
                </c:pt>
                <c:pt idx="18">
                  <c:v>2.9999999999999919E-2</c:v>
                </c:pt>
                <c:pt idx="19">
                  <c:v>3.0000000000000158E-2</c:v>
                </c:pt>
                <c:pt idx="20">
                  <c:v>2.9999999999999985E-2</c:v>
                </c:pt>
                <c:pt idx="21">
                  <c:v>3.000000000000002E-2</c:v>
                </c:pt>
                <c:pt idx="22">
                  <c:v>3.0000000000000037E-2</c:v>
                </c:pt>
                <c:pt idx="23">
                  <c:v>3.0000000000000106E-2</c:v>
                </c:pt>
                <c:pt idx="24">
                  <c:v>3.0000000000000068E-2</c:v>
                </c:pt>
                <c:pt idx="25">
                  <c:v>3.0000000000000058E-2</c:v>
                </c:pt>
                <c:pt idx="26">
                  <c:v>2.999999999999995E-2</c:v>
                </c:pt>
                <c:pt idx="27">
                  <c:v>2.9999999999999926E-2</c:v>
                </c:pt>
                <c:pt idx="28">
                  <c:v>2.999999999999995E-2</c:v>
                </c:pt>
                <c:pt idx="29">
                  <c:v>2.999999999999993E-2</c:v>
                </c:pt>
                <c:pt idx="30">
                  <c:v>3.0000000000000044E-2</c:v>
                </c:pt>
                <c:pt idx="31">
                  <c:v>2.9999999999999936E-2</c:v>
                </c:pt>
                <c:pt idx="32">
                  <c:v>3.0000000000000044E-2</c:v>
                </c:pt>
                <c:pt idx="33">
                  <c:v>2.9999999999999978E-2</c:v>
                </c:pt>
                <c:pt idx="34">
                  <c:v>3.0000000000000131E-2</c:v>
                </c:pt>
                <c:pt idx="35">
                  <c:v>2.9999999999999943E-2</c:v>
                </c:pt>
                <c:pt idx="36">
                  <c:v>2.9999999999999926E-2</c:v>
                </c:pt>
                <c:pt idx="37">
                  <c:v>3.000000000000011E-2</c:v>
                </c:pt>
                <c:pt idx="38">
                  <c:v>3.0000000000000006E-2</c:v>
                </c:pt>
                <c:pt idx="39">
                  <c:v>2.9999999999999995E-2</c:v>
                </c:pt>
                <c:pt idx="40">
                  <c:v>3.0000000000000082E-2</c:v>
                </c:pt>
                <c:pt idx="41">
                  <c:v>3.0000000000000086E-2</c:v>
                </c:pt>
                <c:pt idx="42">
                  <c:v>3.000000000000003E-2</c:v>
                </c:pt>
                <c:pt idx="43">
                  <c:v>3.0000000000000009E-2</c:v>
                </c:pt>
                <c:pt idx="44">
                  <c:v>3.0000000000000075E-2</c:v>
                </c:pt>
                <c:pt idx="45">
                  <c:v>2.9981165229791447E-2</c:v>
                </c:pt>
                <c:pt idx="46">
                  <c:v>2.9575397833165842E-2</c:v>
                </c:pt>
                <c:pt idx="47">
                  <c:v>2.904175307910661E-2</c:v>
                </c:pt>
                <c:pt idx="48">
                  <c:v>2.8399910889264929E-2</c:v>
                </c:pt>
                <c:pt idx="49">
                  <c:v>2.7673320239907869E-2</c:v>
                </c:pt>
                <c:pt idx="50">
                  <c:v>2.6887386887766318E-2</c:v>
                </c:pt>
                <c:pt idx="51">
                  <c:v>2.6067658431551313E-2</c:v>
                </c:pt>
                <c:pt idx="52">
                  <c:v>2.5238178356360864E-2</c:v>
                </c:pt>
                <c:pt idx="53">
                  <c:v>2.4420153133041932E-2</c:v>
                </c:pt>
                <c:pt idx="54">
                  <c:v>2.3631026181797566E-2</c:v>
                </c:pt>
                <c:pt idx="55">
                  <c:v>2.2883989243361415E-2</c:v>
                </c:pt>
                <c:pt idx="56">
                  <c:v>2.2187899565476604E-2</c:v>
                </c:pt>
                <c:pt idx="57">
                  <c:v>2.1547523944245119E-2</c:v>
                </c:pt>
                <c:pt idx="58">
                  <c:v>2.096400636906099E-2</c:v>
                </c:pt>
                <c:pt idx="59">
                  <c:v>2.0435455490956458E-2</c:v>
                </c:pt>
                <c:pt idx="60">
                  <c:v>1.9957565489117708E-2</c:v>
                </c:pt>
                <c:pt idx="61">
                  <c:v>1.9524210077073348E-2</c:v>
                </c:pt>
                <c:pt idx="62">
                  <c:v>1.9127975795848857E-2</c:v>
                </c:pt>
                <c:pt idx="63">
                  <c:v>1.8760621723675909E-2</c:v>
                </c:pt>
                <c:pt idx="64">
                  <c:v>1.8413466143002082E-2</c:v>
                </c:pt>
                <c:pt idx="65">
                  <c:v>1.8077707147732529E-2</c:v>
                </c:pt>
                <c:pt idx="66">
                  <c:v>1.774468568385534E-2</c:v>
                </c:pt>
                <c:pt idx="67">
                  <c:v>1.7406098385746915E-2</c:v>
                </c:pt>
                <c:pt idx="68">
                  <c:v>1.7054165621594761E-2</c:v>
                </c:pt>
                <c:pt idx="69">
                  <c:v>1.668175849869459E-2</c:v>
                </c:pt>
                <c:pt idx="70">
                  <c:v>1.6282487654523899E-2</c:v>
                </c:pt>
                <c:pt idx="71">
                  <c:v>1.5850756480067622E-2</c:v>
                </c:pt>
                <c:pt idx="72">
                  <c:v>1.5381781770209919E-2</c:v>
                </c:pt>
                <c:pt idx="73">
                  <c:v>1.4871585395690903E-2</c:v>
                </c:pt>
                <c:pt idx="74">
                  <c:v>1.4316961203198104E-2</c:v>
                </c:pt>
                <c:pt idx="75">
                  <c:v>1.3715421812537402E-2</c:v>
                </c:pt>
                <c:pt idx="76">
                  <c:v>1.3065130209177803E-2</c:v>
                </c:pt>
                <c:pt idx="77">
                  <c:v>1.2364821006217658E-2</c:v>
                </c:pt>
                <c:pt idx="78">
                  <c:v>1.1613715993247058E-2</c:v>
                </c:pt>
                <c:pt idx="79">
                  <c:v>1.0811438144795939E-2</c:v>
                </c:pt>
                <c:pt idx="80">
                  <c:v>9.9579276815015549E-3</c:v>
                </c:pt>
                <c:pt idx="81">
                  <c:v>9.0533631163685034E-3</c:v>
                </c:pt>
                <c:pt idx="82">
                  <c:v>8.0980895255615207E-3</c:v>
                </c:pt>
                <c:pt idx="83">
                  <c:v>7.0925555999244239E-3</c:v>
                </c:pt>
                <c:pt idx="84">
                  <c:v>6.0372603936122409E-3</c:v>
                </c:pt>
                <c:pt idx="85">
                  <c:v>4.9327101152907612E-3</c:v>
                </c:pt>
                <c:pt idx="86">
                  <c:v>3.7793848224749746E-3</c:v>
                </c:pt>
                <c:pt idx="87">
                  <c:v>2.5777144901560959E-3</c:v>
                </c:pt>
                <c:pt idx="88">
                  <c:v>1.3280636332641991E-3</c:v>
                </c:pt>
                <c:pt idx="89">
                  <c:v>3.0723465022697578E-5</c:v>
                </c:pt>
                <c:pt idx="90">
                  <c:v>-1.3140895386236759E-3</c:v>
                </c:pt>
                <c:pt idx="91">
                  <c:v>-2.706229836436124E-3</c:v>
                </c:pt>
                <c:pt idx="92">
                  <c:v>-4.1456149272284552E-3</c:v>
                </c:pt>
                <c:pt idx="93">
                  <c:v>-5.6322144417243186E-3</c:v>
                </c:pt>
                <c:pt idx="94">
                  <c:v>-7.1660372002385351E-3</c:v>
                </c:pt>
                <c:pt idx="95">
                  <c:v>-8.7471170968438736E-3</c:v>
                </c:pt>
                <c:pt idx="96">
                  <c:v>-1.0375498543134826E-2</c:v>
                </c:pt>
                <c:pt idx="97">
                  <c:v>-1.2051222076610395E-2</c:v>
                </c:pt>
                <c:pt idx="98">
                  <c:v>-1.3774310616188071E-2</c:v>
                </c:pt>
                <c:pt idx="99">
                  <c:v>-1.5544756734641578E-2</c:v>
                </c:pt>
                <c:pt idx="100">
                  <c:v>-1.7362511217235782E-2</c:v>
                </c:pt>
                <c:pt idx="101">
                  <c:v>-1.9227473088674358E-2</c:v>
                </c:pt>
                <c:pt idx="102">
                  <c:v>-2.1139481216670648E-2</c:v>
                </c:pt>
                <c:pt idx="103">
                  <c:v>-2.3098307539429597E-2</c:v>
                </c:pt>
                <c:pt idx="104">
                  <c:v>-2.5103651914941287E-2</c:v>
                </c:pt>
                <c:pt idx="105">
                  <c:v>-2.7155138550959051E-2</c:v>
                </c:pt>
                <c:pt idx="106">
                  <c:v>-2.9252313944421543E-2</c:v>
                </c:pt>
                <c:pt idx="107">
                  <c:v>-3.1394646236579241E-2</c:v>
                </c:pt>
                <c:pt idx="108">
                  <c:v>-3.35815258738629E-2</c:v>
                </c:pt>
                <c:pt idx="109">
                  <c:v>-3.5812267453545606E-2</c:v>
                </c:pt>
                <c:pt idx="110">
                  <c:v>-3.8086112626470547E-2</c:v>
                </c:pt>
                <c:pt idx="111">
                  <c:v>-3.8842113582527954E-2</c:v>
                </c:pt>
                <c:pt idx="112">
                  <c:v>-3.9077740201515505E-2</c:v>
                </c:pt>
                <c:pt idx="113">
                  <c:v>-3.9326473619946511E-2</c:v>
                </c:pt>
                <c:pt idx="114">
                  <c:v>-3.9585533057491622E-2</c:v>
                </c:pt>
                <c:pt idx="115">
                  <c:v>-3.9852627834993493E-2</c:v>
                </c:pt>
                <c:pt idx="116">
                  <c:v>-4.0125857830334108E-2</c:v>
                </c:pt>
                <c:pt idx="117">
                  <c:v>-4.0403637302520244E-2</c:v>
                </c:pt>
                <c:pt idx="118">
                  <c:v>-4.0684635915856325E-2</c:v>
                </c:pt>
                <c:pt idx="119">
                  <c:v>-4.0967732589398669E-2</c:v>
                </c:pt>
                <c:pt idx="120">
                  <c:v>-4.1251979024222139E-2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2AD-4BF5-B689-ED44BE24FEC9}"/>
            </c:ext>
          </c:extLst>
        </c:ser>
        <c:ser>
          <c:idx val="0"/>
          <c:order val="4"/>
          <c:tx>
            <c:v>EFFICIENCY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EFFICIENCY!$L$6:$L$126</c:f>
              <c:numCache>
                <c:formatCode>0.0000</c:formatCode>
                <c:ptCount val="121"/>
                <c:pt idx="1">
                  <c:v>2.9630447367449166E-2</c:v>
                </c:pt>
                <c:pt idx="2">
                  <c:v>2.9630447367449794E-2</c:v>
                </c:pt>
                <c:pt idx="3">
                  <c:v>2.9630447367449429E-2</c:v>
                </c:pt>
                <c:pt idx="4">
                  <c:v>2.963044736744886E-2</c:v>
                </c:pt>
                <c:pt idx="5">
                  <c:v>2.9630447367449249E-2</c:v>
                </c:pt>
                <c:pt idx="6">
                  <c:v>2.9630447367449686E-2</c:v>
                </c:pt>
                <c:pt idx="7">
                  <c:v>2.9630447367449051E-2</c:v>
                </c:pt>
                <c:pt idx="8">
                  <c:v>2.9630447367449419E-2</c:v>
                </c:pt>
                <c:pt idx="9">
                  <c:v>2.9630447367448891E-2</c:v>
                </c:pt>
                <c:pt idx="10">
                  <c:v>2.9630447367448961E-2</c:v>
                </c:pt>
                <c:pt idx="11">
                  <c:v>2.963044736744962E-2</c:v>
                </c:pt>
                <c:pt idx="12">
                  <c:v>2.9630447367449558E-2</c:v>
                </c:pt>
                <c:pt idx="13">
                  <c:v>2.9630447367449415E-2</c:v>
                </c:pt>
                <c:pt idx="14">
                  <c:v>2.9630447367449155E-2</c:v>
                </c:pt>
                <c:pt idx="15">
                  <c:v>2.9630447367449467E-2</c:v>
                </c:pt>
                <c:pt idx="16">
                  <c:v>2.9630447367449412E-2</c:v>
                </c:pt>
                <c:pt idx="17">
                  <c:v>2.963044736744929E-2</c:v>
                </c:pt>
                <c:pt idx="18">
                  <c:v>2.9630447367448905E-2</c:v>
                </c:pt>
                <c:pt idx="19">
                  <c:v>2.9630447367449169E-2</c:v>
                </c:pt>
                <c:pt idx="20">
                  <c:v>2.9630447367449641E-2</c:v>
                </c:pt>
                <c:pt idx="21">
                  <c:v>2.9630447367449384E-2</c:v>
                </c:pt>
                <c:pt idx="22">
                  <c:v>2.9630447367448499E-2</c:v>
                </c:pt>
                <c:pt idx="23">
                  <c:v>2.9630447367449443E-2</c:v>
                </c:pt>
                <c:pt idx="24">
                  <c:v>2.9630447367449939E-2</c:v>
                </c:pt>
                <c:pt idx="25">
                  <c:v>2.9630447367449339E-2</c:v>
                </c:pt>
                <c:pt idx="26">
                  <c:v>2.963044736744903E-2</c:v>
                </c:pt>
                <c:pt idx="27">
                  <c:v>2.9630447367449287E-2</c:v>
                </c:pt>
                <c:pt idx="28">
                  <c:v>2.963044736744886E-2</c:v>
                </c:pt>
                <c:pt idx="29">
                  <c:v>2.9630447367449717E-2</c:v>
                </c:pt>
                <c:pt idx="30">
                  <c:v>2.963044736744946E-2</c:v>
                </c:pt>
                <c:pt idx="31">
                  <c:v>2.9630447367449287E-2</c:v>
                </c:pt>
                <c:pt idx="32">
                  <c:v>2.9630447367448836E-2</c:v>
                </c:pt>
                <c:pt idx="33">
                  <c:v>2.9630447367449946E-2</c:v>
                </c:pt>
                <c:pt idx="34">
                  <c:v>2.963044736744911E-2</c:v>
                </c:pt>
                <c:pt idx="35">
                  <c:v>2.9630447367449211E-2</c:v>
                </c:pt>
                <c:pt idx="36">
                  <c:v>2.9630447367448819E-2</c:v>
                </c:pt>
                <c:pt idx="37">
                  <c:v>2.9630447367449672E-2</c:v>
                </c:pt>
                <c:pt idx="38">
                  <c:v>2.9630447367449277E-2</c:v>
                </c:pt>
                <c:pt idx="39">
                  <c:v>2.9630447367449339E-2</c:v>
                </c:pt>
                <c:pt idx="40">
                  <c:v>4.6912667339977336E-2</c:v>
                </c:pt>
                <c:pt idx="41">
                  <c:v>4.5798313739544808E-2</c:v>
                </c:pt>
                <c:pt idx="42">
                  <c:v>4.4855540465649088E-2</c:v>
                </c:pt>
                <c:pt idx="43">
                  <c:v>4.4055455150960182E-2</c:v>
                </c:pt>
                <c:pt idx="44">
                  <c:v>4.3374621206703344E-2</c:v>
                </c:pt>
                <c:pt idx="45">
                  <c:v>4.2793885927990438E-2</c:v>
                </c:pt>
                <c:pt idx="46">
                  <c:v>4.2271509902779551E-2</c:v>
                </c:pt>
                <c:pt idx="47">
                  <c:v>4.1499032655111096E-2</c:v>
                </c:pt>
                <c:pt idx="48">
                  <c:v>4.0782426377647514E-2</c:v>
                </c:pt>
                <c:pt idx="49">
                  <c:v>4.0112489614715592E-2</c:v>
                </c:pt>
                <c:pt idx="50">
                  <c:v>3.948147384110532E-2</c:v>
                </c:pt>
                <c:pt idx="51">
                  <c:v>3.8882828340884558E-2</c:v>
                </c:pt>
                <c:pt idx="52">
                  <c:v>3.8310995262272135E-2</c:v>
                </c:pt>
                <c:pt idx="53">
                  <c:v>3.77612438104339E-2</c:v>
                </c:pt>
                <c:pt idx="54">
                  <c:v>3.7229535235258848E-2</c:v>
                </c:pt>
                <c:pt idx="55">
                  <c:v>3.6712412245951009E-2</c:v>
                </c:pt>
                <c:pt idx="56">
                  <c:v>3.6206907946796707E-2</c:v>
                </c:pt>
                <c:pt idx="57">
                  <c:v>3.5710470482155858E-2</c:v>
                </c:pt>
                <c:pt idx="58">
                  <c:v>3.5220900404596182E-2</c:v>
                </c:pt>
                <c:pt idx="59">
                  <c:v>3.4736298409018547E-2</c:v>
                </c:pt>
                <c:pt idx="60">
                  <c:v>3.4255021558790462E-2</c:v>
                </c:pt>
                <c:pt idx="61">
                  <c:v>3.3775646503986248E-2</c:v>
                </c:pt>
                <c:pt idx="62">
                  <c:v>3.3296938483626186E-2</c:v>
                </c:pt>
                <c:pt idx="63">
                  <c:v>3.2817825133091318E-2</c:v>
                </c:pt>
                <c:pt idx="64">
                  <c:v>3.2337374299298692E-2</c:v>
                </c:pt>
                <c:pt idx="65">
                  <c:v>3.1854775210573741E-2</c:v>
                </c:pt>
                <c:pt idx="66">
                  <c:v>3.1369322463845183E-2</c:v>
                </c:pt>
                <c:pt idx="67">
                  <c:v>3.0880402385004016E-2</c:v>
                </c:pt>
                <c:pt idx="68">
                  <c:v>3.0387481393659863E-2</c:v>
                </c:pt>
                <c:pt idx="69">
                  <c:v>2.9890096065091045E-2</c:v>
                </c:pt>
                <c:pt idx="70">
                  <c:v>2.9387844632369705E-2</c:v>
                </c:pt>
                <c:pt idx="71">
                  <c:v>2.8880379712984475E-2</c:v>
                </c:pt>
                <c:pt idx="72">
                  <c:v>2.8367402078413283E-2</c:v>
                </c:pt>
                <c:pt idx="73">
                  <c:v>2.7848655313314014E-2</c:v>
                </c:pt>
                <c:pt idx="74">
                  <c:v>2.732392123449446E-2</c:v>
                </c:pt>
                <c:pt idx="75">
                  <c:v>2.6793015959470281E-2</c:v>
                </c:pt>
                <c:pt idx="76">
                  <c:v>2.6255786530801493E-2</c:v>
                </c:pt>
                <c:pt idx="77">
                  <c:v>2.571210801622658E-2</c:v>
                </c:pt>
                <c:pt idx="78">
                  <c:v>2.5161881016184669E-2</c:v>
                </c:pt>
                <c:pt idx="79">
                  <c:v>2.4605029520158403E-2</c:v>
                </c:pt>
                <c:pt idx="80">
                  <c:v>2.4041499061584284E-2</c:v>
                </c:pt>
                <c:pt idx="81">
                  <c:v>2.3471255128078197E-2</c:v>
                </c:pt>
                <c:pt idx="82">
                  <c:v>2.2894281789786426E-2</c:v>
                </c:pt>
                <c:pt idx="83">
                  <c:v>2.2310580513717346E-2</c:v>
                </c:pt>
                <c:pt idx="84">
                  <c:v>2.172016913634298E-2</c:v>
                </c:pt>
                <c:pt idx="85">
                  <c:v>2.1123080970425586E-2</c:v>
                </c:pt>
                <c:pt idx="86">
                  <c:v>2.051936402532592E-2</c:v>
                </c:pt>
                <c:pt idx="87">
                  <c:v>1.9909080322695075E-2</c:v>
                </c:pt>
                <c:pt idx="88">
                  <c:v>1.9292305291936068E-2</c:v>
                </c:pt>
                <c:pt idx="89">
                  <c:v>1.8669127231805686E-2</c:v>
                </c:pt>
                <c:pt idx="90">
                  <c:v>1.8039646826330191E-2</c:v>
                </c:pt>
                <c:pt idx="91">
                  <c:v>1.7403976704731195E-2</c:v>
                </c:pt>
                <c:pt idx="92">
                  <c:v>1.6762241036448522E-2</c:v>
                </c:pt>
                <c:pt idx="93">
                  <c:v>1.6114575153449506E-2</c:v>
                </c:pt>
                <c:pt idx="94">
                  <c:v>1.546112519309335E-2</c:v>
                </c:pt>
                <c:pt idx="95">
                  <c:v>1.4802047755697165E-2</c:v>
                </c:pt>
                <c:pt idx="96">
                  <c:v>1.4137509571749238E-2</c:v>
                </c:pt>
                <c:pt idx="97">
                  <c:v>1.3467687174435273E-2</c:v>
                </c:pt>
                <c:pt idx="98">
                  <c:v>1.2792766573702324E-2</c:v>
                </c:pt>
                <c:pt idx="99">
                  <c:v>1.2112942928768954E-2</c:v>
                </c:pt>
                <c:pt idx="100">
                  <c:v>1.1428420216339651E-2</c:v>
                </c:pt>
                <c:pt idx="101">
                  <c:v>1.0739410892341742E-2</c:v>
                </c:pt>
                <c:pt idx="102">
                  <c:v>1.0046135545370257E-2</c:v>
                </c:pt>
                <c:pt idx="103">
                  <c:v>9.3488225403781794E-3</c:v>
                </c:pt>
                <c:pt idx="104">
                  <c:v>8.6477076515239885E-3</c:v>
                </c:pt>
                <c:pt idx="105">
                  <c:v>7.9430336833288349E-3</c:v>
                </c:pt>
                <c:pt idx="106">
                  <c:v>7.2350500796994491E-3</c:v>
                </c:pt>
                <c:pt idx="107">
                  <c:v>6.5240125204216503E-3</c:v>
                </c:pt>
                <c:pt idx="108">
                  <c:v>5.8101825052293745E-3</c:v>
                </c:pt>
                <c:pt idx="109">
                  <c:v>5.0938269255137178E-3</c:v>
                </c:pt>
                <c:pt idx="110">
                  <c:v>4.3752176241258446E-3</c:v>
                </c:pt>
                <c:pt idx="111">
                  <c:v>3.6546309437830667E-3</c:v>
                </c:pt>
                <c:pt idx="112">
                  <c:v>2.9323472648387222E-3</c:v>
                </c:pt>
                <c:pt idx="113">
                  <c:v>2.2086505332598195E-3</c:v>
                </c:pt>
                <c:pt idx="114">
                  <c:v>1.4838277798348701E-3</c:v>
                </c:pt>
                <c:pt idx="115">
                  <c:v>7.5816863173522916E-4</c:v>
                </c:pt>
                <c:pt idx="116">
                  <c:v>3.1964817655080688E-5</c:v>
                </c:pt>
                <c:pt idx="117">
                  <c:v>-6.9449033212677029E-4</c:v>
                </c:pt>
                <c:pt idx="118">
                  <c:v>-1.4209023893888798E-3</c:v>
                </c:pt>
                <c:pt idx="119">
                  <c:v>-2.1469763338199557E-3</c:v>
                </c:pt>
                <c:pt idx="120">
                  <c:v>-2.8724170595653717E-3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2AD-4BF5-B689-ED44BE24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15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  <c:max val="5.000000000000001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GROWTH RATE (%/yr)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r>
              <a:rPr lang="en-GB"/>
              <a:t>PRIMARY ENERGY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 Light" panose="020B03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7787080826608"/>
          <c:y val="6.9160579174130488E-2"/>
          <c:w val="0.683054052695515"/>
          <c:h val="0.80889968501414766"/>
        </c:manualLayout>
      </c:layout>
      <c:scatterChart>
        <c:scatterStyle val="smoothMarker"/>
        <c:varyColors val="0"/>
        <c:ser>
          <c:idx val="2"/>
          <c:order val="0"/>
          <c:tx>
            <c:v>DATA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DATA!$A$8:$A$51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DATA!$E$8:$E$51</c:f>
              <c:numCache>
                <c:formatCode>0.00</c:formatCode>
                <c:ptCount val="44"/>
                <c:pt idx="0">
                  <c:v>299.5277889024</c:v>
                </c:pt>
                <c:pt idx="1">
                  <c:v>297.53451692280004</c:v>
                </c:pt>
                <c:pt idx="2">
                  <c:v>295.7800728528</c:v>
                </c:pt>
                <c:pt idx="3">
                  <c:v>299.53636403382001</c:v>
                </c:pt>
                <c:pt idx="4">
                  <c:v>310.66426274280116</c:v>
                </c:pt>
                <c:pt idx="5">
                  <c:v>317.16583536124796</c:v>
                </c:pt>
                <c:pt idx="6">
                  <c:v>323.37523470656885</c:v>
                </c:pt>
                <c:pt idx="7">
                  <c:v>333.84025339128004</c:v>
                </c:pt>
                <c:pt idx="8">
                  <c:v>344.7125822943359</c:v>
                </c:pt>
                <c:pt idx="9">
                  <c:v>351.21576671978397</c:v>
                </c:pt>
                <c:pt idx="10">
                  <c:v>354.61218340998005</c:v>
                </c:pt>
                <c:pt idx="11">
                  <c:v>356.81119185564</c:v>
                </c:pt>
                <c:pt idx="12">
                  <c:v>359.15484612995994</c:v>
                </c:pt>
                <c:pt idx="13">
                  <c:v>360.98409832739998</c:v>
                </c:pt>
                <c:pt idx="14">
                  <c:v>365.52454026803997</c:v>
                </c:pt>
                <c:pt idx="15">
                  <c:v>372.20283563673598</c:v>
                </c:pt>
                <c:pt idx="16">
                  <c:v>382.367152965456</c:v>
                </c:pt>
                <c:pt idx="17">
                  <c:v>386.35699482647993</c:v>
                </c:pt>
                <c:pt idx="18">
                  <c:v>388.57475113919998</c:v>
                </c:pt>
                <c:pt idx="19">
                  <c:v>394.93202297723997</c:v>
                </c:pt>
                <c:pt idx="20">
                  <c:v>404.98681478076008</c:v>
                </c:pt>
                <c:pt idx="21">
                  <c:v>409.11511282020001</c:v>
                </c:pt>
                <c:pt idx="22">
                  <c:v>417.05589276576001</c:v>
                </c:pt>
                <c:pt idx="23">
                  <c:v>431.51460802920002</c:v>
                </c:pt>
                <c:pt idx="24">
                  <c:v>450.19744878779994</c:v>
                </c:pt>
                <c:pt idx="25">
                  <c:v>464.21970465419997</c:v>
                </c:pt>
                <c:pt idx="26">
                  <c:v>476.01919377251988</c:v>
                </c:pt>
                <c:pt idx="27">
                  <c:v>490.20433391880005</c:v>
                </c:pt>
                <c:pt idx="28">
                  <c:v>494.44371226799996</c:v>
                </c:pt>
                <c:pt idx="29">
                  <c:v>486.36824664599993</c:v>
                </c:pt>
                <c:pt idx="30">
                  <c:v>507.44744976600003</c:v>
                </c:pt>
                <c:pt idx="31">
                  <c:v>518.47947017999991</c:v>
                </c:pt>
                <c:pt idx="32">
                  <c:v>524.89158685199993</c:v>
                </c:pt>
                <c:pt idx="33">
                  <c:v>531.91333771199982</c:v>
                </c:pt>
                <c:pt idx="34">
                  <c:v>535.65176908799992</c:v>
                </c:pt>
                <c:pt idx="35">
                  <c:v>538.23349177199987</c:v>
                </c:pt>
                <c:pt idx="36">
                  <c:v>541.9943998199999</c:v>
                </c:pt>
                <c:pt idx="37">
                  <c:v>553.10099155199998</c:v>
                </c:pt>
                <c:pt idx="38">
                  <c:v>565.96891535999987</c:v>
                </c:pt>
                <c:pt idx="39">
                  <c:v>570.10290008399988</c:v>
                </c:pt>
                <c:pt idx="40">
                  <c:v>547.69914143999995</c:v>
                </c:pt>
                <c:pt idx="41">
                  <c:v>573.7334993999998</c:v>
                </c:pt>
                <c:pt idx="42">
                  <c:v>582.10844867999992</c:v>
                </c:pt>
                <c:pt idx="43">
                  <c:v>591.78725154000006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79-4909-B250-6959A0C47D53}"/>
            </c:ext>
          </c:extLst>
        </c:ser>
        <c:ser>
          <c:idx val="0"/>
          <c:order val="1"/>
          <c:tx>
            <c:v>EFFICIENCY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EFFICIENCY!$H$6:$H$126</c:f>
              <c:numCache>
                <c:formatCode>0.0000</c:formatCode>
                <c:ptCount val="121"/>
                <c:pt idx="0">
                  <c:v>288.80563051722464</c:v>
                </c:pt>
                <c:pt idx="1">
                  <c:v>293.62414784541699</c:v>
                </c:pt>
                <c:pt idx="2">
                  <c:v>298.52305872134099</c:v>
                </c:pt>
                <c:pt idx="3">
                  <c:v>303.50370445438176</c:v>
                </c:pt>
                <c:pt idx="4">
                  <c:v>308.56744873272186</c:v>
                </c:pt>
                <c:pt idx="5">
                  <c:v>313.71567799671487</c:v>
                </c:pt>
                <c:pt idx="6">
                  <c:v>318.94980181848939</c:v>
                </c:pt>
                <c:pt idx="7">
                  <c:v>324.27125328788605</c:v>
                </c:pt>
                <c:pt idx="8">
                  <c:v>329.68148940483439</c:v>
                </c:pt>
                <c:pt idx="9">
                  <c:v>335.18199147827545</c:v>
                </c:pt>
                <c:pt idx="10">
                  <c:v>340.77426553174053</c:v>
                </c:pt>
                <c:pt idx="11">
                  <c:v>346.45984271569654</c:v>
                </c:pt>
                <c:pt idx="12">
                  <c:v>352.24027972677084</c:v>
                </c:pt>
                <c:pt idx="13">
                  <c:v>358.11715923397128</c:v>
                </c:pt>
                <c:pt idx="14">
                  <c:v>364.09209031201686</c:v>
                </c:pt>
                <c:pt idx="15">
                  <c:v>370.16670888189833</c:v>
                </c:pt>
                <c:pt idx="16">
                  <c:v>376.34267815878877</c:v>
                </c:pt>
                <c:pt idx="17">
                  <c:v>382.62168910742849</c:v>
                </c:pt>
                <c:pt idx="18">
                  <c:v>389.00546090510608</c:v>
                </c:pt>
                <c:pt idx="19">
                  <c:v>395.49574141236553</c:v>
                </c:pt>
                <c:pt idx="20">
                  <c:v>402.09430765156549</c:v>
                </c:pt>
                <c:pt idx="21">
                  <c:v>408.80296629342325</c:v>
                </c:pt>
                <c:pt idx="22">
                  <c:v>415.62355415167769</c:v>
                </c:pt>
                <c:pt idx="23">
                  <c:v>422.5579386860033</c:v>
                </c:pt>
                <c:pt idx="24">
                  <c:v>429.60801851331598</c:v>
                </c:pt>
                <c:pt idx="25">
                  <c:v>436.77572392760959</c:v>
                </c:pt>
                <c:pt idx="26">
                  <c:v>444.06301742846614</c:v>
                </c:pt>
                <c:pt idx="27">
                  <c:v>451.47189425838246</c:v>
                </c:pt>
                <c:pt idx="28">
                  <c:v>459.00438294906297</c:v>
                </c:pt>
                <c:pt idx="29">
                  <c:v>466.66254587682636</c:v>
                </c:pt>
                <c:pt idx="30">
                  <c:v>474.44847982727867</c:v>
                </c:pt>
                <c:pt idx="31">
                  <c:v>482.36431656940869</c:v>
                </c:pt>
                <c:pt idx="32">
                  <c:v>490.41222343926006</c:v>
                </c:pt>
                <c:pt idx="33">
                  <c:v>498.59440393334364</c:v>
                </c:pt>
                <c:pt idx="34">
                  <c:v>506.91309831194673</c:v>
                </c:pt>
                <c:pt idx="35">
                  <c:v>515.37058421251368</c:v>
                </c:pt>
                <c:pt idx="36">
                  <c:v>523.9691772732557</c:v>
                </c:pt>
                <c:pt idx="37">
                  <c:v>532.71123176716674</c:v>
                </c:pt>
                <c:pt idx="38">
                  <c:v>541.59914124661748</c:v>
                </c:pt>
                <c:pt idx="39">
                  <c:v>550.6353391987044</c:v>
                </c:pt>
                <c:pt idx="40">
                  <c:v>555.49996998025961</c:v>
                </c:pt>
                <c:pt idx="41">
                  <c:v>560.84683252120089</c:v>
                </c:pt>
                <c:pt idx="42">
                  <c:v>566.66463706235561</c:v>
                </c:pt>
                <c:pt idx="43">
                  <c:v>572.94340378826723</c:v>
                </c:pt>
                <c:pt idx="44">
                  <c:v>579.67435110755184</c:v>
                </c:pt>
                <c:pt idx="45">
                  <c:v>586.84979736844048</c:v>
                </c:pt>
                <c:pt idx="46">
                  <c:v>594.4545196637373</c:v>
                </c:pt>
                <c:pt idx="47">
                  <c:v>602.37531622703932</c:v>
                </c:pt>
                <c:pt idx="48">
                  <c:v>610.60125360952634</c:v>
                </c:pt>
                <c:pt idx="49">
                  <c:v>619.1216234256508</c:v>
                </c:pt>
                <c:pt idx="50">
                  <c:v>627.92589224274366</c:v>
                </c:pt>
                <c:pt idx="51">
                  <c:v>637.00365579226184</c:v>
                </c:pt>
                <c:pt idx="52">
                  <c:v>646.34459704915764</c:v>
                </c:pt>
                <c:pt idx="53">
                  <c:v>655.93844779840651</c:v>
                </c:pt>
                <c:pt idx="54">
                  <c:v>665.77495336852166</c:v>
                </c:pt>
                <c:pt idx="55">
                  <c:v>675.84384026316809</c:v>
                </c:pt>
                <c:pt idx="56">
                  <c:v>686.13478646553551</c:v>
                </c:pt>
                <c:pt idx="57">
                  <c:v>696.63739422726155</c:v>
                </c:pt>
                <c:pt idx="58">
                  <c:v>707.341165185563</c:v>
                </c:pt>
                <c:pt idx="59">
                  <c:v>718.23547767960167</c:v>
                </c:pt>
                <c:pt idx="60">
                  <c:v>729.30956616074479</c:v>
                </c:pt>
                <c:pt idx="61">
                  <c:v>740.55250261177434</c:v>
                </c:pt>
                <c:pt idx="62">
                  <c:v>751.95317990768808</c:v>
                </c:pt>
                <c:pt idx="63">
                  <c:v>763.50029706591215</c:v>
                </c:pt>
                <c:pt idx="64">
                  <c:v>775.182346346754</c:v>
                </c:pt>
                <c:pt idx="65">
                  <c:v>786.98760217601705</c:v>
                </c:pt>
                <c:pt idx="66">
                  <c:v>798.90411187105678</c:v>
                </c:pt>
                <c:pt idx="67">
                  <c:v>810.91968815935866</c:v>
                </c:pt>
                <c:pt idx="68">
                  <c:v>823.02190348503473</c:v>
                </c:pt>
                <c:pt idx="69">
                  <c:v>835.19808610365737</c:v>
                </c:pt>
                <c:pt idx="70">
                  <c:v>847.43531796956643</c:v>
                </c:pt>
                <c:pt idx="71">
                  <c:v>859.72043442234542</c:v>
                </c:pt>
                <c:pt idx="72">
                  <c:v>872.04002568061833</c:v>
                </c:pt>
                <c:pt idx="73">
                  <c:v>884.38044015166201</c:v>
                </c:pt>
                <c:pt idx="74">
                  <c:v>896.72778956471677</c:v>
                </c:pt>
                <c:pt idx="75">
                  <c:v>909.06795593423237</c:v>
                </c:pt>
                <c:pt idx="76">
                  <c:v>921.38660035677003</c:v>
                </c:pt>
                <c:pt idx="77">
                  <c:v>933.66917364184235</c:v>
                </c:pt>
                <c:pt idx="78">
                  <c:v>945.90092877269751</c:v>
                </c:pt>
                <c:pt idx="79">
                  <c:v>958.06693518798056</c:v>
                </c:pt>
                <c:pt idx="80">
                  <c:v>970.15209486939375</c:v>
                </c:pt>
                <c:pt idx="81">
                  <c:v>982.14116021392317</c:v>
                </c:pt>
                <c:pt idx="82">
                  <c:v>994.01875366203979</c:v>
                </c:pt>
                <c:pt idx="83">
                  <c:v>1005.7693890455025</c:v>
                </c:pt>
                <c:pt idx="84">
                  <c:v>1017.3774946100918</c:v>
                </c:pt>
                <c:pt idx="85">
                  <c:v>1028.8274376598367</c:v>
                </c:pt>
                <c:pt idx="86">
                  <c:v>1040.103550760175</c:v>
                </c:pt>
                <c:pt idx="87">
                  <c:v>1051.1901594280102</c:v>
                </c:pt>
                <c:pt idx="88">
                  <c:v>1062.0716112269763</c:v>
                </c:pt>
                <c:pt idx="89">
                  <c:v>1072.7323061764175</c:v>
                </c:pt>
                <c:pt idx="90">
                  <c:v>1083.1567283727532</c:v>
                </c:pt>
                <c:pt idx="91">
                  <c:v>1093.3294787121197</c:v>
                </c:pt>
                <c:pt idx="92">
                  <c:v>1103.2353085935963</c:v>
                </c:pt>
                <c:pt idx="93">
                  <c:v>1112.8591544729695</c:v>
                </c:pt>
                <c:pt idx="94">
                  <c:v>1122.1861731280314</c:v>
                </c:pt>
                <c:pt idx="95">
                  <c:v>1131.2017774879725</c:v>
                </c:pt>
                <c:pt idx="96">
                  <c:v>1139.8916728715039</c:v>
                </c:pt>
                <c:pt idx="97">
                  <c:v>1148.2418934712402</c:v>
                </c:pt>
                <c:pt idx="98">
                  <c:v>1156.2388389154112</c:v>
                </c:pt>
                <c:pt idx="99">
                  <c:v>1163.8693107326121</c:v>
                </c:pt>
                <c:pt idx="100">
                  <c:v>1171.1205485407349</c:v>
                </c:pt>
                <c:pt idx="101">
                  <c:v>1177.9802657778853</c:v>
                </c:pt>
                <c:pt idx="102">
                  <c:v>1184.436684790853</c:v>
                </c:pt>
                <c:pt idx="103">
                  <c:v>1190.4785710956855</c:v>
                </c:pt>
                <c:pt idx="104">
                  <c:v>1196.095266625224</c:v>
                </c:pt>
                <c:pt idx="105">
                  <c:v>1201.2767217800324</c:v>
                </c:pt>
                <c:pt idx="106">
                  <c:v>1206.013526102219</c:v>
                </c:pt>
                <c:pt idx="107">
                  <c:v>1210.2969373958742</c:v>
                </c:pt>
                <c:pt idx="108">
                  <c:v>1214.1189091237618</c:v>
                </c:pt>
                <c:pt idx="109">
                  <c:v>1217.4721159168671</c:v>
                </c:pt>
                <c:pt idx="110">
                  <c:v>1220.3499770420078</c:v>
                </c:pt>
                <c:pt idx="111">
                  <c:v>1222.7466776823928</c:v>
                </c:pt>
                <c:pt idx="112">
                  <c:v>1224.6571878971058</c:v>
                </c:pt>
                <c:pt idx="113">
                  <c:v>1226.0772791376442</c:v>
                </c:pt>
                <c:pt idx="114">
                  <c:v>1227.0035382129604</c:v>
                </c:pt>
                <c:pt idx="115">
                  <c:v>1227.4333786086968</c:v>
                </c:pt>
                <c:pt idx="116">
                  <c:v>1227.3650490814566</c:v>
                </c:pt>
                <c:pt idx="117">
                  <c:v>1226.7976394648397</c:v>
                </c:pt>
                <c:pt idx="118">
                  <c:v>1225.7310836404338</c:v>
                </c:pt>
                <c:pt idx="119">
                  <c:v>1224.1661596439487</c:v>
                </c:pt>
                <c:pt idx="120">
                  <c:v>1222.1044868939111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79-4909-B250-6959A0C47D53}"/>
            </c:ext>
          </c:extLst>
        </c:ser>
        <c:ser>
          <c:idx val="5"/>
          <c:order val="2"/>
          <c:tx>
            <c:v>BAU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EFFICIENCY!$A$6:$A$126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xVal>
          <c:yVal>
            <c:numRef>
              <c:f>EFFICIENCY!$S$6:$S$126</c:f>
              <c:numCache>
                <c:formatCode>0</c:formatCode>
                <c:ptCount val="121"/>
                <c:pt idx="0">
                  <c:v>288.80563051722464</c:v>
                </c:pt>
                <c:pt idx="1">
                  <c:v>293.62414784541699</c:v>
                </c:pt>
                <c:pt idx="2">
                  <c:v>298.52305872134099</c:v>
                </c:pt>
                <c:pt idx="3">
                  <c:v>303.50370445438176</c:v>
                </c:pt>
                <c:pt idx="4">
                  <c:v>308.56744873272186</c:v>
                </c:pt>
                <c:pt idx="5">
                  <c:v>313.71567799671487</c:v>
                </c:pt>
                <c:pt idx="6">
                  <c:v>318.94980181848939</c:v>
                </c:pt>
                <c:pt idx="7">
                  <c:v>324.27125328788605</c:v>
                </c:pt>
                <c:pt idx="8">
                  <c:v>329.68148940483439</c:v>
                </c:pt>
                <c:pt idx="9">
                  <c:v>335.18199147827545</c:v>
                </c:pt>
                <c:pt idx="10">
                  <c:v>340.77426553174053</c:v>
                </c:pt>
                <c:pt idx="11">
                  <c:v>346.45984271569654</c:v>
                </c:pt>
                <c:pt idx="12">
                  <c:v>352.24027972677084</c:v>
                </c:pt>
                <c:pt idx="13">
                  <c:v>358.11715923397128</c:v>
                </c:pt>
                <c:pt idx="14">
                  <c:v>364.09209031201686</c:v>
                </c:pt>
                <c:pt idx="15">
                  <c:v>370.16670888189833</c:v>
                </c:pt>
                <c:pt idx="16">
                  <c:v>376.34267815878877</c:v>
                </c:pt>
                <c:pt idx="17">
                  <c:v>382.62168910742849</c:v>
                </c:pt>
                <c:pt idx="18">
                  <c:v>389.00546090510608</c:v>
                </c:pt>
                <c:pt idx="19">
                  <c:v>395.49574141236553</c:v>
                </c:pt>
                <c:pt idx="20">
                  <c:v>402.09430765156549</c:v>
                </c:pt>
                <c:pt idx="21">
                  <c:v>408.80296629342325</c:v>
                </c:pt>
                <c:pt idx="22">
                  <c:v>415.62355415167769</c:v>
                </c:pt>
                <c:pt idx="23">
                  <c:v>422.5579386860033</c:v>
                </c:pt>
                <c:pt idx="24">
                  <c:v>429.60801851331598</c:v>
                </c:pt>
                <c:pt idx="25">
                  <c:v>436.77572392760959</c:v>
                </c:pt>
                <c:pt idx="26">
                  <c:v>444.06301742846614</c:v>
                </c:pt>
                <c:pt idx="27">
                  <c:v>451.47189425838246</c:v>
                </c:pt>
                <c:pt idx="28">
                  <c:v>459.00438294906297</c:v>
                </c:pt>
                <c:pt idx="29">
                  <c:v>466.66254587682636</c:v>
                </c:pt>
                <c:pt idx="30">
                  <c:v>474.44847982727867</c:v>
                </c:pt>
                <c:pt idx="31">
                  <c:v>482.36431656940869</c:v>
                </c:pt>
                <c:pt idx="32">
                  <c:v>490.41222343926006</c:v>
                </c:pt>
                <c:pt idx="33">
                  <c:v>498.59440393334364</c:v>
                </c:pt>
                <c:pt idx="34">
                  <c:v>506.91309831194673</c:v>
                </c:pt>
                <c:pt idx="35">
                  <c:v>515.37058421251368</c:v>
                </c:pt>
                <c:pt idx="36">
                  <c:v>523.9691772732557</c:v>
                </c:pt>
                <c:pt idx="37">
                  <c:v>532.71123176716674</c:v>
                </c:pt>
                <c:pt idx="38">
                  <c:v>541.59914124661748</c:v>
                </c:pt>
                <c:pt idx="39">
                  <c:v>550.6353391987044</c:v>
                </c:pt>
                <c:pt idx="40">
                  <c:v>559.82229971153208</c:v>
                </c:pt>
                <c:pt idx="41">
                  <c:v>569.16253815161224</c:v>
                </c:pt>
                <c:pt idx="42">
                  <c:v>578.65861185256426</c:v>
                </c:pt>
                <c:pt idx="43">
                  <c:v>588.31312081530791</c:v>
                </c:pt>
                <c:pt idx="44">
                  <c:v>598.12870841993538</c:v>
                </c:pt>
                <c:pt idx="45">
                  <c:v>608.10806214946365</c:v>
                </c:pt>
                <c:pt idx="46">
                  <c:v>618.2437787393726</c:v>
                </c:pt>
                <c:pt idx="47">
                  <c:v>628.45044955241417</c:v>
                </c:pt>
                <c:pt idx="48">
                  <c:v>638.72434966203127</c:v>
                </c:pt>
                <c:pt idx="49">
                  <c:v>649.06156564081971</c:v>
                </c:pt>
                <c:pt idx="50">
                  <c:v>659.45799369739404</c:v>
                </c:pt>
                <c:pt idx="51">
                  <c:v>669.90933811240984</c:v>
                </c:pt>
                <c:pt idx="52">
                  <c:v>680.41110999381158</c:v>
                </c:pt>
                <c:pt idx="53">
                  <c:v>690.9586263714159</c:v>
                </c:pt>
                <c:pt idx="54">
                  <c:v>701.54700965095412</c:v>
                </c:pt>
                <c:pt idx="55">
                  <c:v>712.17118744758352</c:v>
                </c:pt>
                <c:pt idx="56">
                  <c:v>722.82589281869537</c:v>
                </c:pt>
                <c:pt idx="57">
                  <c:v>733.5056649155398</c:v>
                </c:pt>
                <c:pt idx="58">
                  <c:v>744.20485007279387</c:v>
                </c:pt>
                <c:pt idx="59">
                  <c:v>754.91760335468337</c:v>
                </c:pt>
                <c:pt idx="60">
                  <c:v>765.63789057562849</c:v>
                </c:pt>
                <c:pt idx="61">
                  <c:v>776.35949081264084</c:v>
                </c:pt>
                <c:pt idx="62">
                  <c:v>787.07599942582033</c:v>
                </c:pt>
                <c:pt idx="63">
                  <c:v>797.78083160226936</c:v>
                </c:pt>
                <c:pt idx="64">
                  <c:v>808.46722643764929</c:v>
                </c:pt>
                <c:pt idx="65">
                  <c:v>819.12825156826614</c:v>
                </c:pt>
                <c:pt idx="66">
                  <c:v>829.75680836522974</c:v>
                </c:pt>
                <c:pt idx="67">
                  <c:v>840.34563770062721</c:v>
                </c:pt>
                <c:pt idx="68">
                  <c:v>850.88732629400329</c:v>
                </c:pt>
                <c:pt idx="69">
                  <c:v>861.3743136456319</c:v>
                </c:pt>
                <c:pt idx="70">
                  <c:v>871.79889956107183</c:v>
                </c:pt>
                <c:pt idx="71">
                  <c:v>882.15325226947641</c:v>
                </c:pt>
                <c:pt idx="72">
                  <c:v>892.42941713590221</c:v>
                </c:pt>
                <c:pt idx="73">
                  <c:v>902.61932596553038</c:v>
                </c:pt>
                <c:pt idx="74">
                  <c:v>912.71480689532859</c:v>
                </c:pt>
                <c:pt idx="75">
                  <c:v>922.70759486610359</c:v>
                </c:pt>
                <c:pt idx="76">
                  <c:v>932.5893426653123</c:v>
                </c:pt>
                <c:pt idx="77">
                  <c:v>942.35163252826726</c:v>
                </c:pt>
                <c:pt idx="78">
                  <c:v>951.98598828260583</c:v>
                </c:pt>
                <c:pt idx="79">
                  <c:v>961.483888018073</c:v>
                </c:pt>
                <c:pt idx="80">
                  <c:v>970.83677726077701</c:v>
                </c:pt>
                <c:pt idx="81">
                  <c:v>980.03608262817954</c:v>
                </c:pt>
                <c:pt idx="82">
                  <c:v>989.07322593819174</c:v>
                </c:pt>
                <c:pt idx="83">
                  <c:v>997.93963874282213</c:v>
                </c:pt>
                <c:pt idx="84">
                  <c:v>1006.6267772539667</c:v>
                </c:pt>
                <c:pt idx="85">
                  <c:v>1015.1261376260783</c:v>
                </c:pt>
                <c:pt idx="86">
                  <c:v>1023.4292715577388</c:v>
                </c:pt>
                <c:pt idx="87">
                  <c:v>1031.5278021714087</c:v>
                </c:pt>
                <c:pt idx="88">
                  <c:v>1039.4134401281449</c:v>
                </c:pt>
                <c:pt idx="89">
                  <c:v>1047.0779999315596</c:v>
                </c:pt>
                <c:pt idx="90">
                  <c:v>1054.5134163730602</c:v>
                </c:pt>
                <c:pt idx="91">
                  <c:v>1061.7117610682626</c:v>
                </c:pt>
                <c:pt idx="92">
                  <c:v>1068.6652590325457</c:v>
                </c:pt>
                <c:pt idx="93">
                  <c:v>1075.3663052419927</c:v>
                </c:pt>
                <c:pt idx="94">
                  <c:v>1081.8074811245024</c:v>
                </c:pt>
                <c:pt idx="95">
                  <c:v>1087.9815709245606</c:v>
                </c:pt>
                <c:pt idx="96">
                  <c:v>1093.8815778842438</c:v>
                </c:pt>
                <c:pt idx="97">
                  <c:v>1099.5007401822652</c:v>
                </c:pt>
                <c:pt idx="98">
                  <c:v>1104.8325465725525</c:v>
                </c:pt>
                <c:pt idx="99">
                  <c:v>1109.8707516636291</c:v>
                </c:pt>
                <c:pt idx="100">
                  <c:v>1114.6093907804191</c:v>
                </c:pt>
                <c:pt idx="101">
                  <c:v>1119.0427943505097</c:v>
                </c:pt>
                <c:pt idx="102">
                  <c:v>1123.1656017578489</c:v>
                </c:pt>
                <c:pt idx="103">
                  <c:v>1126.9727746080166</c:v>
                </c:pt>
                <c:pt idx="104">
                  <c:v>1130.459609350715</c:v>
                </c:pt>
                <c:pt idx="105">
                  <c:v>1133.6217492070305</c:v>
                </c:pt>
                <c:pt idx="106">
                  <c:v>1136.4551953511034</c:v>
                </c:pt>
                <c:pt idx="107">
                  <c:v>1138.9563172984244</c:v>
                </c:pt>
                <c:pt idx="108">
                  <c:v>1141.1218624556877</c:v>
                </c:pt>
                <c:pt idx="109">
                  <c:v>1142.9489647902631</c:v>
                </c:pt>
                <c:pt idx="110">
                  <c:v>1144.4351525806912</c:v>
                </c:pt>
                <c:pt idx="111">
                  <c:v>1145.5783552131977</c:v>
                </c:pt>
                <c:pt idx="112">
                  <c:v>1146.3769089931186</c:v>
                </c:pt>
                <c:pt idx="113">
                  <c:v>1146.829561944133</c:v>
                </c:pt>
                <c:pt idx="114">
                  <c:v>1146.9354775725126</c:v>
                </c:pt>
                <c:pt idx="115">
                  <c:v>1146.6942375779483</c:v>
                </c:pt>
                <c:pt idx="116">
                  <c:v>1146.1058434971126</c:v>
                </c:pt>
                <c:pt idx="117">
                  <c:v>1145.170717270724</c:v>
                </c:pt>
                <c:pt idx="118">
                  <c:v>1143.8897007296391</c:v>
                </c:pt>
                <c:pt idx="119">
                  <c:v>1142.2640540002149</c:v>
                </c:pt>
                <c:pt idx="120">
                  <c:v>1140.2954528340058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79-4909-B250-6959A0C4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25464"/>
        <c:axId val="548227104"/>
      </c:scatterChart>
      <c:valAx>
        <c:axId val="548225464"/>
        <c:scaling>
          <c:orientation val="minMax"/>
          <c:max val="2120"/>
          <c:min val="197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7104"/>
        <c:crosses val="autoZero"/>
        <c:crossBetween val="midCat"/>
        <c:majorUnit val="25"/>
      </c:valAx>
      <c:valAx>
        <c:axId val="54822710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rbel Light" panose="020B0303020204020204" pitchFamily="34" charset="0"/>
                    <a:ea typeface="+mn-ea"/>
                    <a:cs typeface="+mn-cs"/>
                  </a:defRPr>
                </a:pPr>
                <a:r>
                  <a:rPr lang="en-GB"/>
                  <a:t>PEU (EJyr)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rbel Light" panose="020B0303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 Light" panose="020B0303020204020204" pitchFamily="34" charset="0"/>
                <a:ea typeface="+mn-ea"/>
                <a:cs typeface="+mn-cs"/>
              </a:defRPr>
            </a:pPr>
            <a:endParaRPr lang="en-US"/>
          </a:p>
        </c:txPr>
        <c:crossAx val="548225464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Corbel Light" panose="020B03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142874</xdr:rowOff>
    </xdr:from>
    <xdr:to>
      <xdr:col>3</xdr:col>
      <xdr:colOff>676274</xdr:colOff>
      <xdr:row>77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0E1B71-4497-4519-91D0-B612E57F5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59</xdr:row>
      <xdr:rowOff>95250</xdr:rowOff>
    </xdr:from>
    <xdr:to>
      <xdr:col>10</xdr:col>
      <xdr:colOff>619125</xdr:colOff>
      <xdr:row>77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8FFD22-A819-4BA9-9ED0-7DF55238E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814917</xdr:colOff>
      <xdr:row>59</xdr:row>
      <xdr:rowOff>63500</xdr:rowOff>
    </xdr:from>
    <xdr:to>
      <xdr:col>7</xdr:col>
      <xdr:colOff>390524</xdr:colOff>
      <xdr:row>76</xdr:row>
      <xdr:rowOff>168274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6B5F52-B0B4-4FD8-ADA8-7F0D461E1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43655</xdr:colOff>
      <xdr:row>106</xdr:row>
      <xdr:rowOff>142882</xdr:rowOff>
    </xdr:from>
    <xdr:to>
      <xdr:col>28</xdr:col>
      <xdr:colOff>11905</xdr:colOff>
      <xdr:row>117</xdr:row>
      <xdr:rowOff>92082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A80CF1-A2A4-B379-8F97-C738B9CBC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352425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76201</xdr:rowOff>
    </xdr:from>
    <xdr:to>
      <xdr:col>7</xdr:col>
      <xdr:colOff>352425</xdr:colOff>
      <xdr:row>40</xdr:row>
      <xdr:rowOff>133351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342900</xdr:colOff>
      <xdr:row>20</xdr:row>
      <xdr:rowOff>66675</xdr:rowOff>
    </xdr:from>
    <xdr:to>
      <xdr:col>14</xdr:col>
      <xdr:colOff>57150</xdr:colOff>
      <xdr:row>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400049</xdr:colOff>
      <xdr:row>0</xdr:row>
      <xdr:rowOff>19050</xdr:rowOff>
    </xdr:from>
    <xdr:to>
      <xdr:col>14</xdr:col>
      <xdr:colOff>142874</xdr:colOff>
      <xdr:row>20</xdr:row>
      <xdr:rowOff>95249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266700</xdr:colOff>
      <xdr:row>20</xdr:row>
      <xdr:rowOff>0</xdr:rowOff>
    </xdr:from>
    <xdr:to>
      <xdr:col>21</xdr:col>
      <xdr:colOff>6350</xdr:colOff>
      <xdr:row>40</xdr:row>
      <xdr:rowOff>79374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BA3B7E2-9B15-49C8-BC29-271067CAB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273050</xdr:colOff>
      <xdr:row>0</xdr:row>
      <xdr:rowOff>0</xdr:rowOff>
    </xdr:from>
    <xdr:to>
      <xdr:col>21</xdr:col>
      <xdr:colOff>19050</xdr:colOff>
      <xdr:row>20</xdr:row>
      <xdr:rowOff>76199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B04FC8B-6A50-4F2E-BF89-EEE42599C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A9" zoomScaleNormal="100" workbookViewId="0">
      <selection activeCell="B17" sqref="B17"/>
    </sheetView>
  </sheetViews>
  <sheetFormatPr defaultRowHeight="14.5" x14ac:dyDescent="0.35"/>
  <cols>
    <col min="1" max="1" width="15.7265625" customWidth="1"/>
    <col min="2" max="2" width="20.7265625" customWidth="1"/>
    <col min="3" max="3" width="16" customWidth="1"/>
    <col min="4" max="4" width="53.7265625" customWidth="1"/>
    <col min="5" max="5" width="14.453125" customWidth="1"/>
    <col min="6" max="6" width="82.453125" customWidth="1"/>
  </cols>
  <sheetData>
    <row r="1" spans="1:6" s="61" customFormat="1" ht="33" customHeight="1" x14ac:dyDescent="0.35">
      <c r="A1" s="158" t="s">
        <v>94</v>
      </c>
      <c r="B1" s="158"/>
      <c r="C1" s="158"/>
      <c r="D1" s="158"/>
      <c r="E1" s="158"/>
      <c r="F1" s="158"/>
    </row>
    <row r="2" spans="1:6" s="57" customFormat="1" x14ac:dyDescent="0.35">
      <c r="A2" s="84" t="s">
        <v>7</v>
      </c>
      <c r="B2" s="84" t="s">
        <v>6</v>
      </c>
      <c r="C2" s="84" t="s">
        <v>5</v>
      </c>
      <c r="D2" s="84" t="s">
        <v>4</v>
      </c>
      <c r="E2" s="84" t="s">
        <v>98</v>
      </c>
      <c r="F2" s="84" t="s">
        <v>3</v>
      </c>
    </row>
    <row r="3" spans="1:6" ht="4.5" customHeight="1" x14ac:dyDescent="0.35">
      <c r="A3" s="85"/>
      <c r="B3" s="86"/>
      <c r="C3" s="86"/>
      <c r="D3" s="86"/>
      <c r="E3" s="86"/>
      <c r="F3" s="86"/>
    </row>
    <row r="4" spans="1:6" x14ac:dyDescent="0.35">
      <c r="A4" s="3" t="s">
        <v>20</v>
      </c>
      <c r="B4" s="130">
        <v>7.4999999999999997E-2</v>
      </c>
      <c r="C4" s="3" t="s">
        <v>8</v>
      </c>
      <c r="D4" s="3" t="s">
        <v>95</v>
      </c>
      <c r="E4" s="121"/>
      <c r="F4" s="5"/>
    </row>
    <row r="5" spans="1:6" x14ac:dyDescent="0.35">
      <c r="A5" s="3" t="s">
        <v>93</v>
      </c>
      <c r="B5" s="130">
        <v>0.8</v>
      </c>
      <c r="C5" s="3"/>
      <c r="D5" s="3" t="s">
        <v>96</v>
      </c>
      <c r="E5" s="123"/>
      <c r="F5" s="5"/>
    </row>
    <row r="6" spans="1:6" x14ac:dyDescent="0.35">
      <c r="A6" s="3" t="s">
        <v>105</v>
      </c>
      <c r="B6" s="145">
        <v>0.03</v>
      </c>
      <c r="C6" s="3" t="s">
        <v>8</v>
      </c>
      <c r="D6" s="3" t="s">
        <v>51</v>
      </c>
      <c r="E6" s="122"/>
      <c r="F6" s="88"/>
    </row>
    <row r="7" spans="1:6" x14ac:dyDescent="0.35">
      <c r="A7" s="3" t="s">
        <v>130</v>
      </c>
      <c r="B7" s="130">
        <v>0.9</v>
      </c>
      <c r="C7" s="3" t="s">
        <v>137</v>
      </c>
      <c r="D7" s="3" t="s">
        <v>17</v>
      </c>
      <c r="E7" s="121"/>
      <c r="F7" s="3"/>
    </row>
    <row r="8" spans="1:6" x14ac:dyDescent="0.35">
      <c r="A8" s="3" t="s">
        <v>131</v>
      </c>
      <c r="B8" s="130">
        <f>1.6/3</f>
        <v>0.53333333333333333</v>
      </c>
      <c r="C8" s="3" t="s">
        <v>0</v>
      </c>
      <c r="D8" s="3" t="s">
        <v>17</v>
      </c>
      <c r="E8" s="121"/>
      <c r="F8" s="3"/>
    </row>
    <row r="9" spans="1:6" x14ac:dyDescent="0.35">
      <c r="A9" s="3" t="s">
        <v>34</v>
      </c>
      <c r="B9" s="130">
        <f>1.5/685</f>
        <v>2.1897810218978104E-3</v>
      </c>
      <c r="C9" s="3" t="s">
        <v>67</v>
      </c>
      <c r="D9" s="3" t="s">
        <v>108</v>
      </c>
      <c r="E9" s="121"/>
      <c r="F9" s="3"/>
    </row>
    <row r="10" spans="1:6" x14ac:dyDescent="0.35">
      <c r="A10" s="3" t="s">
        <v>71</v>
      </c>
      <c r="B10" s="130">
        <f>0.03/(3.5-1.5)</f>
        <v>1.4999999999999999E-2</v>
      </c>
      <c r="C10" s="3" t="s">
        <v>47</v>
      </c>
      <c r="D10" s="3" t="s">
        <v>109</v>
      </c>
      <c r="E10" s="124"/>
      <c r="F10" s="3" t="s">
        <v>142</v>
      </c>
    </row>
    <row r="11" spans="1:6" x14ac:dyDescent="0.35">
      <c r="A11" s="3" t="s">
        <v>106</v>
      </c>
      <c r="B11" s="145">
        <v>1.5</v>
      </c>
      <c r="C11" s="134" t="s">
        <v>107</v>
      </c>
      <c r="D11" s="3" t="s">
        <v>110</v>
      </c>
      <c r="E11" s="124"/>
      <c r="F11" s="3"/>
    </row>
    <row r="12" spans="1:6" x14ac:dyDescent="0.35">
      <c r="A12" s="3" t="s">
        <v>74</v>
      </c>
      <c r="B12" s="130">
        <v>375</v>
      </c>
      <c r="C12" s="3" t="s">
        <v>25</v>
      </c>
      <c r="D12" s="3" t="s">
        <v>36</v>
      </c>
      <c r="E12" s="123"/>
      <c r="F12" s="3"/>
    </row>
    <row r="13" spans="1:6" x14ac:dyDescent="0.35">
      <c r="A13" s="3" t="s">
        <v>50</v>
      </c>
      <c r="B13" s="130">
        <f>(DATA!F8-280)*2.123/0.44</f>
        <v>283.517</v>
      </c>
      <c r="C13" s="3" t="s">
        <v>1</v>
      </c>
      <c r="D13" s="3" t="s">
        <v>37</v>
      </c>
      <c r="E13" s="121"/>
      <c r="F13" s="87" t="s">
        <v>112</v>
      </c>
    </row>
    <row r="14" spans="1:6" x14ac:dyDescent="0.35">
      <c r="A14" s="3" t="s">
        <v>64</v>
      </c>
      <c r="B14" s="130">
        <v>1.5</v>
      </c>
      <c r="C14" s="3" t="s">
        <v>48</v>
      </c>
      <c r="D14" s="3" t="s">
        <v>65</v>
      </c>
      <c r="E14" s="123"/>
      <c r="F14" s="3"/>
    </row>
    <row r="15" spans="1:6" x14ac:dyDescent="0.35">
      <c r="A15" s="3" t="s">
        <v>63</v>
      </c>
      <c r="B15" s="146">
        <f>BAU!E45/BAU!C45/0.8</f>
        <v>0.13654668050509292</v>
      </c>
      <c r="C15" s="95" t="s">
        <v>42</v>
      </c>
      <c r="D15" s="3" t="s">
        <v>43</v>
      </c>
      <c r="E15" s="144"/>
      <c r="F15" s="3"/>
    </row>
    <row r="16" spans="1:6" x14ac:dyDescent="0.35">
      <c r="A16" s="3" t="s">
        <v>143</v>
      </c>
      <c r="B16" s="146">
        <f>B4/B6</f>
        <v>2.5</v>
      </c>
      <c r="C16" s="95"/>
      <c r="D16" s="3" t="s">
        <v>155</v>
      </c>
      <c r="E16" s="144"/>
      <c r="F16" s="3"/>
    </row>
    <row r="17" spans="1:10" x14ac:dyDescent="0.35">
      <c r="A17" s="3" t="s">
        <v>145</v>
      </c>
      <c r="B17" s="130">
        <v>0.05</v>
      </c>
      <c r="C17" s="95" t="s">
        <v>8</v>
      </c>
      <c r="D17" s="3" t="s">
        <v>146</v>
      </c>
      <c r="E17" s="144"/>
      <c r="F17" s="3"/>
    </row>
    <row r="18" spans="1:10" x14ac:dyDescent="0.35">
      <c r="A18" s="3" t="s">
        <v>121</v>
      </c>
      <c r="B18" s="130">
        <v>1.1839999999999999</v>
      </c>
      <c r="C18" s="3" t="s">
        <v>122</v>
      </c>
      <c r="D18" s="3" t="s">
        <v>123</v>
      </c>
      <c r="E18" s="124"/>
      <c r="F18" s="3"/>
    </row>
    <row r="19" spans="1:10" x14ac:dyDescent="0.35">
      <c r="A19" s="3" t="s">
        <v>132</v>
      </c>
      <c r="B19" s="130">
        <v>1.2869999999999999E-2</v>
      </c>
      <c r="C19" s="3" t="s">
        <v>138</v>
      </c>
      <c r="D19" s="3" t="s">
        <v>148</v>
      </c>
      <c r="E19" s="149"/>
      <c r="F19" s="3"/>
      <c r="G19" s="142"/>
      <c r="H19" s="142"/>
      <c r="I19" s="142"/>
      <c r="J19" s="143"/>
    </row>
    <row r="20" spans="1:10" x14ac:dyDescent="0.35">
      <c r="A20" s="3" t="s">
        <v>133</v>
      </c>
      <c r="B20" s="130">
        <f>1.3/3</f>
        <v>0.43333333333333335</v>
      </c>
      <c r="C20" s="3" t="s">
        <v>0</v>
      </c>
      <c r="D20" s="3" t="s">
        <v>148</v>
      </c>
      <c r="E20" s="149"/>
      <c r="F20" s="3"/>
      <c r="G20" s="142"/>
      <c r="H20" s="142"/>
      <c r="I20" s="142"/>
      <c r="J20" s="143"/>
    </row>
    <row r="21" spans="1:10" x14ac:dyDescent="0.35">
      <c r="A21" s="3" t="s">
        <v>165</v>
      </c>
      <c r="B21" s="130">
        <f>10/555</f>
        <v>1.8018018018018018E-2</v>
      </c>
      <c r="C21" s="3" t="s">
        <v>167</v>
      </c>
      <c r="D21" s="3" t="s">
        <v>166</v>
      </c>
      <c r="E21" s="149"/>
      <c r="F21" s="3"/>
      <c r="G21" s="142"/>
      <c r="H21" s="142"/>
      <c r="I21" s="142"/>
      <c r="J21" s="143"/>
    </row>
    <row r="22" spans="1:10" x14ac:dyDescent="0.35">
      <c r="A22" s="3" t="s">
        <v>134</v>
      </c>
      <c r="B22" s="130">
        <v>11.32</v>
      </c>
      <c r="C22" s="3" t="s">
        <v>139</v>
      </c>
      <c r="D22" s="3" t="s">
        <v>149</v>
      </c>
      <c r="E22" s="149"/>
      <c r="F22" s="3"/>
      <c r="G22" s="142"/>
      <c r="H22" s="142"/>
      <c r="I22" s="142"/>
      <c r="J22" s="143"/>
    </row>
    <row r="23" spans="1:10" x14ac:dyDescent="0.35">
      <c r="A23" s="3" t="s">
        <v>135</v>
      </c>
      <c r="B23" s="130">
        <f>1-B20</f>
        <v>0.56666666666666665</v>
      </c>
      <c r="C23" s="3" t="s">
        <v>0</v>
      </c>
      <c r="D23" s="3" t="s">
        <v>149</v>
      </c>
      <c r="E23" s="149"/>
      <c r="F23" s="3"/>
      <c r="G23" s="142"/>
      <c r="H23" s="142"/>
      <c r="I23" s="142"/>
      <c r="J23" s="143"/>
    </row>
    <row r="24" spans="1:10" x14ac:dyDescent="0.35">
      <c r="A24" s="3" t="s">
        <v>136</v>
      </c>
      <c r="B24" s="130">
        <v>0.19</v>
      </c>
      <c r="C24" s="3"/>
      <c r="D24" s="3" t="s">
        <v>147</v>
      </c>
      <c r="E24" s="149"/>
      <c r="F24" s="3"/>
      <c r="G24" s="142"/>
      <c r="H24" s="142"/>
      <c r="I24" s="142"/>
      <c r="J24" s="143"/>
    </row>
    <row r="25" spans="1:10" x14ac:dyDescent="0.35">
      <c r="A25" s="3" t="s">
        <v>163</v>
      </c>
      <c r="B25" s="130">
        <f>B24*2</f>
        <v>0.38</v>
      </c>
      <c r="C25" s="3"/>
      <c r="D25" s="3" t="s">
        <v>164</v>
      </c>
      <c r="E25" s="144"/>
      <c r="F25" s="3"/>
      <c r="G25" s="142"/>
      <c r="H25" s="142"/>
      <c r="I25" s="142"/>
      <c r="J25" s="143"/>
    </row>
    <row r="26" spans="1:10" ht="6" customHeight="1" x14ac:dyDescent="0.35">
      <c r="A26" s="86"/>
      <c r="B26" s="126"/>
      <c r="C26" s="86"/>
      <c r="D26" s="86"/>
      <c r="E26" s="86"/>
      <c r="F26" s="51"/>
    </row>
    <row r="31" spans="1:10" x14ac:dyDescent="0.35">
      <c r="B31" s="157"/>
      <c r="C31" s="157"/>
    </row>
    <row r="32" spans="1:10" x14ac:dyDescent="0.35">
      <c r="B32" s="157"/>
      <c r="C32" s="157"/>
    </row>
    <row r="33" spans="2:3" x14ac:dyDescent="0.35">
      <c r="B33" s="157"/>
      <c r="C33" s="157"/>
    </row>
    <row r="34" spans="2:3" x14ac:dyDescent="0.35">
      <c r="B34" s="157"/>
      <c r="C34" s="157"/>
    </row>
    <row r="35" spans="2:3" x14ac:dyDescent="0.35">
      <c r="B35" s="157"/>
      <c r="C35" s="15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29"/>
  <sheetViews>
    <sheetView zoomScale="60" zoomScaleNormal="60" workbookViewId="0">
      <pane ySplit="5" topLeftCell="A81" activePane="bottomLeft" state="frozen"/>
      <selection pane="bottomLeft" activeCell="G56" sqref="G56"/>
    </sheetView>
  </sheetViews>
  <sheetFormatPr defaultRowHeight="14.5" x14ac:dyDescent="0.35"/>
  <cols>
    <col min="1" max="1" width="15.7265625" customWidth="1"/>
    <col min="2" max="6" width="15.7265625" style="32" customWidth="1"/>
    <col min="7" max="8" width="15.7265625" style="34" customWidth="1"/>
    <col min="9" max="10" width="15.7265625" style="32" customWidth="1"/>
    <col min="11" max="11" width="15.7265625" style="34" customWidth="1"/>
    <col min="12" max="12" width="15.7265625" customWidth="1"/>
    <col min="13" max="13" width="1.81640625" style="77" customWidth="1"/>
    <col min="14" max="14" width="12.453125" customWidth="1"/>
    <col min="15" max="15" width="12.54296875" style="32" customWidth="1"/>
    <col min="16" max="16" width="12.81640625" customWidth="1"/>
    <col min="19" max="19" width="10.1796875" style="32" bestFit="1" customWidth="1"/>
    <col min="20" max="20" width="11.1796875" style="62" bestFit="1" customWidth="1"/>
  </cols>
  <sheetData>
    <row r="1" spans="1:24" ht="21.75" customHeight="1" x14ac:dyDescent="0.35">
      <c r="A1" s="159" t="s">
        <v>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N1" t="s">
        <v>102</v>
      </c>
    </row>
    <row r="2" spans="1:24" s="66" customFormat="1" ht="79.5" customHeight="1" x14ac:dyDescent="0.35">
      <c r="A2" s="63"/>
      <c r="B2" s="64" t="s">
        <v>75</v>
      </c>
      <c r="C2" s="64" t="s">
        <v>72</v>
      </c>
      <c r="D2" s="64" t="s">
        <v>86</v>
      </c>
      <c r="E2" s="64" t="s">
        <v>86</v>
      </c>
      <c r="F2" s="64" t="s">
        <v>79</v>
      </c>
      <c r="G2" s="65" t="s">
        <v>82</v>
      </c>
      <c r="H2" s="65" t="s">
        <v>84</v>
      </c>
      <c r="I2" s="64" t="s">
        <v>97</v>
      </c>
      <c r="J2" s="64" t="s">
        <v>101</v>
      </c>
      <c r="K2" s="65" t="s">
        <v>87</v>
      </c>
      <c r="L2" s="63" t="s">
        <v>119</v>
      </c>
      <c r="M2" s="78"/>
      <c r="O2" s="118"/>
      <c r="S2" s="118"/>
      <c r="T2" s="67"/>
    </row>
    <row r="3" spans="1:24" s="66" customFormat="1" ht="87" customHeight="1" x14ac:dyDescent="0.35">
      <c r="A3" s="63"/>
      <c r="B3" s="64" t="s">
        <v>77</v>
      </c>
      <c r="C3" s="64" t="s">
        <v>78</v>
      </c>
      <c r="D3" s="64" t="s">
        <v>90</v>
      </c>
      <c r="E3" s="64" t="s">
        <v>90</v>
      </c>
      <c r="F3" s="64" t="s">
        <v>81</v>
      </c>
      <c r="G3" s="65" t="s">
        <v>83</v>
      </c>
      <c r="H3" s="65" t="s">
        <v>85</v>
      </c>
      <c r="I3" s="64" t="s">
        <v>99</v>
      </c>
      <c r="J3" s="64"/>
      <c r="K3" s="65" t="s">
        <v>91</v>
      </c>
      <c r="L3" s="63"/>
      <c r="M3" s="78"/>
      <c r="N3" s="66" t="s">
        <v>13</v>
      </c>
      <c r="O3" s="118" t="s">
        <v>30</v>
      </c>
      <c r="P3" s="66" t="s">
        <v>10</v>
      </c>
      <c r="S3" s="118"/>
      <c r="T3" s="67"/>
    </row>
    <row r="4" spans="1:24" s="58" customFormat="1" hidden="1" x14ac:dyDescent="0.35">
      <c r="A4" s="58" t="s">
        <v>9</v>
      </c>
      <c r="B4" s="59" t="s">
        <v>13</v>
      </c>
      <c r="C4" s="59"/>
      <c r="D4" s="59" t="s">
        <v>30</v>
      </c>
      <c r="E4" s="59"/>
      <c r="F4" s="59"/>
      <c r="H4" s="60" t="s">
        <v>31</v>
      </c>
      <c r="I4" s="59" t="s">
        <v>100</v>
      </c>
      <c r="J4" s="59"/>
      <c r="K4" s="60" t="s">
        <v>89</v>
      </c>
      <c r="L4" s="58" t="s">
        <v>38</v>
      </c>
      <c r="M4" s="79"/>
      <c r="O4" s="59"/>
      <c r="P4" s="69"/>
      <c r="Q4" s="69"/>
      <c r="R4" s="69"/>
      <c r="S4" s="116"/>
      <c r="T4" s="69"/>
      <c r="U4" s="69"/>
      <c r="V4" s="70"/>
      <c r="W4" s="68"/>
      <c r="X4" s="68"/>
    </row>
    <row r="5" spans="1:24" s="58" customFormat="1" hidden="1" x14ac:dyDescent="0.35">
      <c r="B5" s="59" t="s">
        <v>76</v>
      </c>
      <c r="C5" s="59" t="s">
        <v>73</v>
      </c>
      <c r="D5" s="59" t="s">
        <v>33</v>
      </c>
      <c r="E5" s="59"/>
      <c r="F5" s="59" t="s">
        <v>80</v>
      </c>
      <c r="H5" s="60" t="s">
        <v>88</v>
      </c>
      <c r="I5" s="59" t="s">
        <v>48</v>
      </c>
      <c r="J5" s="59" t="s">
        <v>1</v>
      </c>
      <c r="K5" s="60" t="s">
        <v>88</v>
      </c>
      <c r="L5" s="58" t="s">
        <v>40</v>
      </c>
      <c r="M5" s="79"/>
      <c r="N5" s="58" t="s">
        <v>103</v>
      </c>
      <c r="O5" s="58" t="s">
        <v>103</v>
      </c>
      <c r="P5" s="58" t="s">
        <v>103</v>
      </c>
      <c r="Q5" s="72"/>
      <c r="R5" s="71"/>
      <c r="S5" s="72"/>
      <c r="T5" s="72"/>
      <c r="U5" s="72"/>
      <c r="V5" s="72"/>
      <c r="W5" s="71"/>
      <c r="X5" s="71"/>
    </row>
    <row r="6" spans="1:24" s="58" customFormat="1" ht="35.25" customHeight="1" x14ac:dyDescent="0.35">
      <c r="B6" s="59" t="s">
        <v>32</v>
      </c>
      <c r="C6" s="59" t="s">
        <v>25</v>
      </c>
      <c r="D6" s="59" t="s">
        <v>33</v>
      </c>
      <c r="E6" s="59" t="s">
        <v>118</v>
      </c>
      <c r="F6" s="59" t="s">
        <v>80</v>
      </c>
      <c r="G6" s="138" t="s">
        <v>54</v>
      </c>
      <c r="H6" s="138" t="s">
        <v>54</v>
      </c>
      <c r="I6" s="59" t="s">
        <v>48</v>
      </c>
      <c r="J6" s="59" t="s">
        <v>1</v>
      </c>
      <c r="K6" s="138" t="s">
        <v>54</v>
      </c>
      <c r="L6" s="58" t="s">
        <v>120</v>
      </c>
      <c r="M6" s="79"/>
      <c r="Q6" s="72"/>
      <c r="R6" s="71"/>
      <c r="S6" s="72"/>
      <c r="T6" s="72"/>
      <c r="U6" s="72"/>
      <c r="V6" s="72"/>
      <c r="W6" s="71"/>
      <c r="X6" s="71"/>
    </row>
    <row r="7" spans="1:24" s="58" customFormat="1" ht="9" customHeight="1" x14ac:dyDescent="0.35">
      <c r="A7" s="79"/>
      <c r="B7" s="80"/>
      <c r="C7" s="80"/>
      <c r="D7" s="80"/>
      <c r="E7" s="80"/>
      <c r="F7" s="80"/>
      <c r="G7" s="81"/>
      <c r="H7" s="81"/>
      <c r="I7" s="80"/>
      <c r="J7" s="80"/>
      <c r="K7" s="81"/>
      <c r="L7" s="79"/>
      <c r="M7" s="79"/>
      <c r="N7" s="79"/>
      <c r="O7" s="80"/>
      <c r="P7" s="128"/>
      <c r="Q7" s="72"/>
      <c r="R7" s="71"/>
      <c r="S7" s="72"/>
      <c r="T7" s="72"/>
      <c r="U7" s="72"/>
      <c r="V7" s="72"/>
      <c r="W7" s="71"/>
      <c r="X7" s="71"/>
    </row>
    <row r="8" spans="1:24" x14ac:dyDescent="0.35">
      <c r="A8">
        <v>1980</v>
      </c>
      <c r="B8" s="32">
        <v>26.511446683671263</v>
      </c>
      <c r="D8" s="32">
        <v>9.4979638794520547</v>
      </c>
      <c r="E8" s="32">
        <f>D8*60*60*24*365*0.000001</f>
        <v>299.5277889024</v>
      </c>
      <c r="F8" s="32">
        <v>338.76</v>
      </c>
      <c r="G8" s="34">
        <v>0.1961</v>
      </c>
      <c r="H8" s="34">
        <f>G8+0.54</f>
        <v>0.73609999999999998</v>
      </c>
      <c r="I8" s="32">
        <v>5.3150519999999997</v>
      </c>
      <c r="J8" s="32">
        <f>PARAMETERS!B13</f>
        <v>283.517</v>
      </c>
      <c r="K8" s="34">
        <f>J8*PARAMETERS!$B$9</f>
        <v>0.62084014598540149</v>
      </c>
      <c r="L8" s="55">
        <v>4.4400000000000004</v>
      </c>
      <c r="N8" s="125"/>
      <c r="Q8" s="72"/>
      <c r="R8" s="71"/>
      <c r="S8" s="72"/>
      <c r="T8" s="32"/>
      <c r="U8" s="72"/>
      <c r="V8" s="72"/>
      <c r="W8" s="71"/>
      <c r="X8" s="71"/>
    </row>
    <row r="9" spans="1:24" x14ac:dyDescent="0.35">
      <c r="A9">
        <f>A8+1</f>
        <v>1981</v>
      </c>
      <c r="B9" s="32">
        <v>27.025717448256849</v>
      </c>
      <c r="D9" s="32">
        <v>9.434757639611874</v>
      </c>
      <c r="E9" s="32">
        <f t="shared" ref="E9:E51" si="0">D9*60*60*24*365*0.000001</f>
        <v>297.53451692280004</v>
      </c>
      <c r="F9" s="32">
        <v>340.12</v>
      </c>
      <c r="G9" s="34">
        <v>0.25</v>
      </c>
      <c r="H9" s="34">
        <f t="shared" ref="H9:H51" si="1">G9+0.54</f>
        <v>0.79</v>
      </c>
      <c r="I9" s="32">
        <v>5.1880644545454544</v>
      </c>
      <c r="J9" s="32">
        <f>J8+I9+PARAMETERS!$B$14</f>
        <v>290.20506445454544</v>
      </c>
      <c r="K9" s="34">
        <f>J9*PARAMETERS!$B$9</f>
        <v>0.63548554260119439</v>
      </c>
      <c r="L9" s="55">
        <v>4.5239000000000003</v>
      </c>
      <c r="N9" s="127">
        <f t="shared" ref="N9:N51" si="2">(B9-B8)/B8</f>
        <v>1.9398064946125011E-2</v>
      </c>
      <c r="O9" s="127">
        <f>(D9-D8)/D8</f>
        <v>-6.6547146991073969E-3</v>
      </c>
      <c r="P9" s="127">
        <f>(I9-I8)/I8</f>
        <v>-2.389206078407987E-2</v>
      </c>
      <c r="Q9" s="72"/>
      <c r="R9" s="71"/>
      <c r="S9" s="72"/>
      <c r="T9" s="32"/>
      <c r="U9" s="72"/>
      <c r="V9" s="72"/>
      <c r="W9" s="71"/>
      <c r="X9" s="71"/>
    </row>
    <row r="10" spans="1:24" x14ac:dyDescent="0.35">
      <c r="A10">
        <f t="shared" ref="A10:A50" si="3">A9+1</f>
        <v>1982</v>
      </c>
      <c r="B10" s="32">
        <v>27.121769087858539</v>
      </c>
      <c r="D10" s="32">
        <v>9.3791245831050229</v>
      </c>
      <c r="E10" s="32">
        <f t="shared" si="0"/>
        <v>295.7800728528</v>
      </c>
      <c r="F10" s="32">
        <v>341.48</v>
      </c>
      <c r="G10" s="34">
        <v>3.4299999999999997E-2</v>
      </c>
      <c r="H10" s="34">
        <f t="shared" si="1"/>
        <v>0.57430000000000003</v>
      </c>
      <c r="I10" s="32">
        <v>5.1466628181818184</v>
      </c>
      <c r="J10" s="32">
        <f>J9+I10+PARAMETERS!$B$14</f>
        <v>296.85172727272726</v>
      </c>
      <c r="K10" s="34">
        <f>J10*PARAMETERS!$B$9</f>
        <v>0.65004027869940284</v>
      </c>
      <c r="L10" s="55">
        <v>4.6075999999999997</v>
      </c>
      <c r="N10" s="127">
        <f t="shared" si="2"/>
        <v>3.5540828762673699E-3</v>
      </c>
      <c r="O10" s="127">
        <f t="shared" ref="O10:O51" si="4">(D10-D9)/D9</f>
        <v>-5.8966068479889061E-3</v>
      </c>
      <c r="P10" s="127">
        <f t="shared" ref="P10:P51" si="5">(I10-I9)/I9</f>
        <v>-7.9801700087520182E-3</v>
      </c>
      <c r="Q10" s="72"/>
      <c r="R10" s="71"/>
      <c r="S10" s="72"/>
      <c r="T10" s="32"/>
      <c r="U10" s="72"/>
      <c r="V10" s="72"/>
      <c r="W10" s="71"/>
      <c r="X10" s="71"/>
    </row>
    <row r="11" spans="1:24" x14ac:dyDescent="0.35">
      <c r="A11">
        <f t="shared" si="3"/>
        <v>1983</v>
      </c>
      <c r="B11" s="32">
        <v>27.835686731305941</v>
      </c>
      <c r="D11" s="32">
        <v>9.498235795085618</v>
      </c>
      <c r="E11" s="32">
        <f t="shared" si="0"/>
        <v>299.53636403382001</v>
      </c>
      <c r="F11" s="32">
        <v>343.15</v>
      </c>
      <c r="G11" s="34">
        <v>0.2238</v>
      </c>
      <c r="H11" s="34">
        <f t="shared" si="1"/>
        <v>0.76380000000000003</v>
      </c>
      <c r="I11" s="32">
        <v>5.1796118181818178</v>
      </c>
      <c r="J11" s="32">
        <f>J10+I11+PARAMETERS!$B$14</f>
        <v>303.53133909090906</v>
      </c>
      <c r="K11" s="34">
        <f>J11*PARAMETERS!$B$9</f>
        <v>0.66466716589250163</v>
      </c>
      <c r="L11" s="55">
        <v>4.6910999999999996</v>
      </c>
      <c r="N11" s="127">
        <f t="shared" si="2"/>
        <v>2.6322679805094212E-2</v>
      </c>
      <c r="O11" s="127">
        <f t="shared" si="4"/>
        <v>1.2699608681513267E-2</v>
      </c>
      <c r="P11" s="127">
        <f t="shared" si="5"/>
        <v>6.4020125592061756E-3</v>
      </c>
      <c r="Q11" s="72"/>
      <c r="R11" s="71"/>
      <c r="S11" s="72"/>
      <c r="T11" s="32"/>
      <c r="U11" s="72"/>
      <c r="V11" s="72"/>
      <c r="W11" s="71"/>
      <c r="X11" s="71"/>
    </row>
    <row r="12" spans="1:24" x14ac:dyDescent="0.35">
      <c r="A12">
        <f t="shared" si="3"/>
        <v>1984</v>
      </c>
      <c r="B12" s="32">
        <v>29.137190529551003</v>
      </c>
      <c r="D12" s="32">
        <v>9.8510991483638133</v>
      </c>
      <c r="E12" s="32">
        <f t="shared" si="0"/>
        <v>310.66426274280116</v>
      </c>
      <c r="F12" s="32">
        <v>344.87</v>
      </c>
      <c r="G12" s="34">
        <v>4.8000000000000001E-2</v>
      </c>
      <c r="H12" s="34">
        <f t="shared" si="1"/>
        <v>0.58800000000000008</v>
      </c>
      <c r="I12" s="32">
        <v>5.3584911818181808</v>
      </c>
      <c r="J12" s="32">
        <f>J11+I12+PARAMETERS!$B$14</f>
        <v>310.38983027272724</v>
      </c>
      <c r="K12" s="34">
        <f>J12*PARAMETERS!$B$9</f>
        <v>0.67968575972130063</v>
      </c>
      <c r="L12" s="55">
        <v>4.7744</v>
      </c>
      <c r="N12" s="127">
        <f t="shared" si="2"/>
        <v>4.6756662079448542E-2</v>
      </c>
      <c r="O12" s="127">
        <f t="shared" si="4"/>
        <v>3.715040991725712E-2</v>
      </c>
      <c r="P12" s="127">
        <f t="shared" si="5"/>
        <v>3.4535283707641716E-2</v>
      </c>
      <c r="Q12" s="72"/>
      <c r="R12" s="71"/>
      <c r="S12" s="72"/>
      <c r="T12" s="32"/>
      <c r="U12" s="72"/>
      <c r="V12" s="72"/>
      <c r="W12" s="71"/>
      <c r="X12" s="71"/>
    </row>
    <row r="13" spans="1:24" x14ac:dyDescent="0.35">
      <c r="A13">
        <f t="shared" si="3"/>
        <v>1985</v>
      </c>
      <c r="B13" s="32">
        <v>30.217686857429626</v>
      </c>
      <c r="D13" s="32">
        <v>10.057262663662099</v>
      </c>
      <c r="E13" s="32">
        <f t="shared" si="0"/>
        <v>317.16583536124796</v>
      </c>
      <c r="F13" s="32">
        <v>346.35</v>
      </c>
      <c r="G13" s="34">
        <v>4.9700000000000001E-2</v>
      </c>
      <c r="H13" s="34">
        <f t="shared" si="1"/>
        <v>0.5897</v>
      </c>
      <c r="I13" s="32">
        <v>5.539609636363636</v>
      </c>
      <c r="J13" s="32">
        <f>J12+I13+PARAMETERS!$B$14</f>
        <v>317.42943990909089</v>
      </c>
      <c r="K13" s="34">
        <f>J13*PARAMETERS!$B$9</f>
        <v>0.6951009633045786</v>
      </c>
      <c r="L13" s="55">
        <v>4.8574999999999999</v>
      </c>
      <c r="N13" s="127">
        <f t="shared" si="2"/>
        <v>3.7083064916048861E-2</v>
      </c>
      <c r="O13" s="127">
        <f t="shared" si="4"/>
        <v>2.0927970797302145E-2</v>
      </c>
      <c r="P13" s="127">
        <f t="shared" si="5"/>
        <v>3.3800271083771788E-2</v>
      </c>
      <c r="Q13" s="72"/>
      <c r="R13" s="73"/>
      <c r="S13" s="72"/>
      <c r="T13" s="32"/>
      <c r="U13" s="72"/>
      <c r="V13" s="72"/>
      <c r="W13" s="71"/>
      <c r="X13" s="71"/>
    </row>
    <row r="14" spans="1:24" x14ac:dyDescent="0.35">
      <c r="A14">
        <f t="shared" si="3"/>
        <v>1986</v>
      </c>
      <c r="B14" s="32">
        <v>31.194806052548806</v>
      </c>
      <c r="D14" s="32">
        <v>10.254161425246346</v>
      </c>
      <c r="E14" s="32">
        <f t="shared" si="0"/>
        <v>323.37523470656885</v>
      </c>
      <c r="F14" s="32">
        <v>347.61</v>
      </c>
      <c r="G14" s="34">
        <v>9.5699999999999993E-2</v>
      </c>
      <c r="H14" s="34">
        <f t="shared" si="1"/>
        <v>0.63570000000000004</v>
      </c>
      <c r="I14" s="32">
        <v>5.6222626363636357</v>
      </c>
      <c r="J14" s="32">
        <f>J13+I14+PARAMETERS!$B$14</f>
        <v>324.55170254545453</v>
      </c>
      <c r="K14" s="34">
        <f>J14*PARAMETERS!$B$9</f>
        <v>0.71069715885865958</v>
      </c>
      <c r="L14" s="55">
        <v>4.9404000000000003</v>
      </c>
      <c r="N14" s="127">
        <f t="shared" si="2"/>
        <v>3.2336002412406202E-2</v>
      </c>
      <c r="O14" s="127">
        <f t="shared" si="4"/>
        <v>1.9577768640334139E-2</v>
      </c>
      <c r="P14" s="127">
        <f t="shared" si="5"/>
        <v>1.4920365409403743E-2</v>
      </c>
      <c r="Q14" s="72"/>
      <c r="R14" s="73"/>
      <c r="S14" s="72"/>
      <c r="T14" s="32"/>
      <c r="U14" s="72"/>
      <c r="V14" s="72"/>
      <c r="W14" s="71"/>
      <c r="X14" s="71"/>
    </row>
    <row r="15" spans="1:24" x14ac:dyDescent="0.35">
      <c r="A15">
        <f t="shared" si="3"/>
        <v>1987</v>
      </c>
      <c r="B15" s="32">
        <v>32.365674666546987</v>
      </c>
      <c r="D15" s="32">
        <v>10.586004990844749</v>
      </c>
      <c r="E15" s="32">
        <f t="shared" si="0"/>
        <v>333.84025339128004</v>
      </c>
      <c r="F15" s="32">
        <v>349.31</v>
      </c>
      <c r="G15" s="34">
        <v>0.24299999999999999</v>
      </c>
      <c r="H15" s="34">
        <f t="shared" si="1"/>
        <v>0.78300000000000003</v>
      </c>
      <c r="I15" s="32">
        <v>5.7954749999999997</v>
      </c>
      <c r="J15" s="32">
        <f>J14+I15+PARAMETERS!$B$14</f>
        <v>331.84717754545454</v>
      </c>
      <c r="K15" s="34">
        <f>J15*PARAMETERS!$B$9</f>
        <v>0.72667265155938954</v>
      </c>
      <c r="L15" s="55">
        <v>5.0231000000000003</v>
      </c>
      <c r="N15" s="127">
        <f t="shared" si="2"/>
        <v>3.7534088592370451E-2</v>
      </c>
      <c r="O15" s="127">
        <f t="shared" si="4"/>
        <v>3.2361843337221564E-2</v>
      </c>
      <c r="P15" s="127">
        <f t="shared" si="5"/>
        <v>3.0808301717543788E-2</v>
      </c>
      <c r="Q15" s="71"/>
      <c r="R15" s="74"/>
      <c r="S15" s="75"/>
      <c r="T15" s="32"/>
      <c r="U15" s="72"/>
      <c r="V15" s="72"/>
      <c r="W15" s="71"/>
      <c r="X15" s="71"/>
    </row>
    <row r="16" spans="1:24" x14ac:dyDescent="0.35">
      <c r="A16">
        <f t="shared" si="3"/>
        <v>1988</v>
      </c>
      <c r="B16" s="32">
        <v>33.837965658467418</v>
      </c>
      <c r="D16" s="32">
        <v>10.930764278739725</v>
      </c>
      <c r="E16" s="32">
        <f t="shared" si="0"/>
        <v>344.7125822943359</v>
      </c>
      <c r="F16" s="32">
        <v>351.69</v>
      </c>
      <c r="G16" s="34">
        <v>0.28220000000000001</v>
      </c>
      <c r="H16" s="34">
        <f t="shared" si="1"/>
        <v>0.82220000000000004</v>
      </c>
      <c r="I16" s="32">
        <v>6.0232172727272717</v>
      </c>
      <c r="J16" s="32">
        <f>J15+I16+PARAMETERS!$B$14</f>
        <v>339.37039481818181</v>
      </c>
      <c r="K16" s="34">
        <f>J16*PARAMETERS!$B$9</f>
        <v>0.74314684996682157</v>
      </c>
      <c r="L16" s="55">
        <v>5.1055999999999999</v>
      </c>
      <c r="N16" s="127">
        <f t="shared" si="2"/>
        <v>4.5489272418664718E-2</v>
      </c>
      <c r="O16" s="127">
        <f t="shared" si="4"/>
        <v>3.2567459413927961E-2</v>
      </c>
      <c r="P16" s="127">
        <f t="shared" si="5"/>
        <v>3.9296567188586269E-2</v>
      </c>
      <c r="Q16" s="71"/>
      <c r="R16" s="71"/>
      <c r="S16" s="72"/>
      <c r="T16" s="32"/>
      <c r="U16" s="72"/>
      <c r="V16" s="72"/>
      <c r="W16" s="71"/>
      <c r="X16" s="71"/>
    </row>
    <row r="17" spans="1:25" x14ac:dyDescent="0.35">
      <c r="A17">
        <f t="shared" si="3"/>
        <v>1989</v>
      </c>
      <c r="B17" s="32">
        <v>35.098144557839838</v>
      </c>
      <c r="D17" s="32">
        <v>11.136978904102738</v>
      </c>
      <c r="E17" s="32">
        <f t="shared" si="0"/>
        <v>351.21576671978397</v>
      </c>
      <c r="F17" s="32">
        <v>353.2</v>
      </c>
      <c r="G17" s="34">
        <v>0.17929999999999999</v>
      </c>
      <c r="H17" s="34">
        <f t="shared" si="1"/>
        <v>0.71930000000000005</v>
      </c>
      <c r="I17" s="32">
        <v>6.1054464545454543</v>
      </c>
      <c r="J17" s="32">
        <f>J16+I17+PARAMETERS!$B$14</f>
        <v>346.97584127272728</v>
      </c>
      <c r="K17" s="34">
        <f>J17*PARAMETERS!$B$9</f>
        <v>0.75980111227604519</v>
      </c>
      <c r="L17" s="55">
        <v>5.1879</v>
      </c>
      <c r="N17" s="127">
        <f t="shared" si="2"/>
        <v>3.7241568009484638E-2</v>
      </c>
      <c r="O17" s="127">
        <f t="shared" si="4"/>
        <v>1.8865526701010306E-2</v>
      </c>
      <c r="P17" s="127">
        <f t="shared" si="5"/>
        <v>1.3652036460731858E-2</v>
      </c>
      <c r="Q17" s="76"/>
      <c r="R17" s="76"/>
      <c r="S17" s="119"/>
      <c r="T17" s="32"/>
      <c r="U17" s="72"/>
      <c r="V17" s="72"/>
      <c r="W17" s="71"/>
      <c r="X17" s="71"/>
    </row>
    <row r="18" spans="1:25" ht="14.25" customHeight="1" x14ac:dyDescent="0.35">
      <c r="A18">
        <f t="shared" si="3"/>
        <v>1990</v>
      </c>
      <c r="B18" s="32">
        <v>36.053259768502322</v>
      </c>
      <c r="D18" s="32">
        <v>11.244678570839042</v>
      </c>
      <c r="E18" s="32">
        <f t="shared" si="0"/>
        <v>354.61218340998005</v>
      </c>
      <c r="F18" s="32">
        <v>354.45</v>
      </c>
      <c r="G18" s="34">
        <v>0.36059999999999998</v>
      </c>
      <c r="H18" s="34">
        <f t="shared" si="1"/>
        <v>0.90060000000000007</v>
      </c>
      <c r="I18" s="32">
        <v>6.1988151818181807</v>
      </c>
      <c r="J18" s="32">
        <f>J17+I18+PARAMETERS!$B$14</f>
        <v>354.67465645454547</v>
      </c>
      <c r="K18" s="34">
        <f>J18*PARAMETERS!$B$9</f>
        <v>0.77665983165228947</v>
      </c>
      <c r="L18" s="55">
        <v>5.27</v>
      </c>
      <c r="N18" s="127">
        <f t="shared" si="2"/>
        <v>2.7212698069794147E-2</v>
      </c>
      <c r="O18" s="127">
        <f t="shared" si="4"/>
        <v>9.6704562039377079E-3</v>
      </c>
      <c r="P18" s="127">
        <f t="shared" si="5"/>
        <v>1.5292694476619993E-2</v>
      </c>
      <c r="Q18" s="69"/>
      <c r="R18" s="69"/>
      <c r="S18" s="116"/>
      <c r="T18" s="32"/>
      <c r="U18" s="72"/>
      <c r="V18" s="72"/>
      <c r="W18" s="71"/>
      <c r="X18" s="71"/>
    </row>
    <row r="19" spans="1:25" x14ac:dyDescent="0.35">
      <c r="A19">
        <f t="shared" si="3"/>
        <v>1991</v>
      </c>
      <c r="B19" s="32">
        <v>36.489757004345506</v>
      </c>
      <c r="D19" s="32">
        <v>11.314408671221461</v>
      </c>
      <c r="E19" s="32">
        <f t="shared" si="0"/>
        <v>356.81119185564</v>
      </c>
      <c r="F19" s="32">
        <v>355.7</v>
      </c>
      <c r="G19" s="34">
        <v>0.33889999999999998</v>
      </c>
      <c r="H19" s="34">
        <f t="shared" si="1"/>
        <v>0.87890000000000001</v>
      </c>
      <c r="I19" s="32">
        <v>6.3234823636363631</v>
      </c>
      <c r="J19" s="32">
        <f>J18+I19+PARAMETERS!$B$14</f>
        <v>362.49813881818181</v>
      </c>
      <c r="K19" s="34">
        <f>J19*PARAMETERS!$B$9</f>
        <v>0.7937915448573325</v>
      </c>
      <c r="L19" s="55">
        <v>5.3514999999999997</v>
      </c>
      <c r="N19" s="127">
        <f t="shared" si="2"/>
        <v>1.2107011644603826E-2</v>
      </c>
      <c r="O19" s="127">
        <f t="shared" si="4"/>
        <v>6.201164394618674E-3</v>
      </c>
      <c r="P19" s="127">
        <f t="shared" si="5"/>
        <v>2.0111453263495446E-2</v>
      </c>
      <c r="Q19" s="72"/>
      <c r="R19" s="71"/>
      <c r="S19" s="72"/>
      <c r="T19" s="32"/>
      <c r="U19" s="72"/>
      <c r="V19" s="72"/>
      <c r="W19" s="71"/>
      <c r="X19" s="71"/>
    </row>
    <row r="20" spans="1:25" x14ac:dyDescent="0.35">
      <c r="A20">
        <f t="shared" si="3"/>
        <v>1992</v>
      </c>
      <c r="B20" s="32">
        <v>37.227704048250182</v>
      </c>
      <c r="D20" s="32">
        <v>11.388725460742009</v>
      </c>
      <c r="E20" s="32">
        <f t="shared" si="0"/>
        <v>359.15484612995994</v>
      </c>
      <c r="F20" s="32">
        <v>356.54</v>
      </c>
      <c r="G20" s="34">
        <v>0.1249</v>
      </c>
      <c r="H20" s="34">
        <f t="shared" si="1"/>
        <v>0.66490000000000005</v>
      </c>
      <c r="I20" s="32">
        <v>6.1440469090909087</v>
      </c>
      <c r="J20" s="32">
        <f>J19+I20+PARAMETERS!$B$14</f>
        <v>370.1421857272727</v>
      </c>
      <c r="K20" s="34">
        <f>J20*PARAMETERS!$B$9</f>
        <v>0.81053033370935634</v>
      </c>
      <c r="L20" s="55">
        <v>5.4322999999999997</v>
      </c>
      <c r="N20" s="127">
        <f t="shared" si="2"/>
        <v>2.022340252407805E-2</v>
      </c>
      <c r="O20" s="127">
        <f t="shared" si="4"/>
        <v>6.5683317334625799E-3</v>
      </c>
      <c r="P20" s="127">
        <f t="shared" si="5"/>
        <v>-2.8376050446081859E-2</v>
      </c>
      <c r="Q20" s="72"/>
      <c r="R20" s="71"/>
      <c r="S20" s="72"/>
      <c r="T20" s="32"/>
      <c r="U20" s="72"/>
      <c r="V20" s="72"/>
      <c r="W20" s="71"/>
      <c r="X20" s="71"/>
    </row>
    <row r="21" spans="1:25" x14ac:dyDescent="0.35">
      <c r="A21">
        <f t="shared" si="3"/>
        <v>1993</v>
      </c>
      <c r="B21" s="32">
        <v>37.912860557311717</v>
      </c>
      <c r="D21" s="32">
        <v>11.446730667408675</v>
      </c>
      <c r="E21" s="32">
        <f t="shared" si="0"/>
        <v>360.98409832739998</v>
      </c>
      <c r="F21" s="32">
        <v>357.21</v>
      </c>
      <c r="G21" s="34">
        <v>0.16569999999999999</v>
      </c>
      <c r="H21" s="34">
        <f t="shared" si="1"/>
        <v>0.70569999999999999</v>
      </c>
      <c r="I21" s="32">
        <v>6.2061237272727272</v>
      </c>
      <c r="J21" s="32">
        <f>J20+I21+PARAMETERS!$B$14</f>
        <v>377.84830945454542</v>
      </c>
      <c r="K21" s="34">
        <f>J21*PARAMETERS!$B$9</f>
        <v>0.82740505719973456</v>
      </c>
      <c r="L21" s="55">
        <v>5.5125999999999999</v>
      </c>
      <c r="N21" s="127">
        <f t="shared" si="2"/>
        <v>1.8404479313940923E-2</v>
      </c>
      <c r="O21" s="127">
        <f t="shared" si="4"/>
        <v>5.0932131840928964E-3</v>
      </c>
      <c r="P21" s="127">
        <f t="shared" si="5"/>
        <v>1.0103571652418196E-2</v>
      </c>
      <c r="Q21" s="72"/>
      <c r="R21" s="71"/>
      <c r="S21" s="72"/>
      <c r="T21" s="32"/>
      <c r="U21" s="72"/>
      <c r="V21" s="72"/>
      <c r="W21" s="71"/>
      <c r="X21" s="71"/>
    </row>
    <row r="22" spans="1:25" x14ac:dyDescent="0.35">
      <c r="A22">
        <f t="shared" si="3"/>
        <v>1994</v>
      </c>
      <c r="B22" s="32">
        <v>39.180033495170335</v>
      </c>
      <c r="D22" s="32">
        <v>11.590707136860731</v>
      </c>
      <c r="E22" s="32">
        <f t="shared" si="0"/>
        <v>365.52454026803997</v>
      </c>
      <c r="F22" s="32">
        <v>358.96</v>
      </c>
      <c r="G22" s="34">
        <v>0.23350000000000001</v>
      </c>
      <c r="H22" s="34">
        <f t="shared" si="1"/>
        <v>0.77350000000000008</v>
      </c>
      <c r="I22" s="32">
        <v>6.2708037272727273</v>
      </c>
      <c r="J22" s="32">
        <f>J21+I22+PARAMETERS!$B$14</f>
        <v>385.61911318181814</v>
      </c>
      <c r="K22" s="34">
        <f>J22*PARAMETERS!$B$9</f>
        <v>0.84442141572660911</v>
      </c>
      <c r="L22" s="55">
        <v>5.5926</v>
      </c>
      <c r="N22" s="127">
        <f t="shared" si="2"/>
        <v>3.3423300675059088E-2</v>
      </c>
      <c r="O22" s="127">
        <f t="shared" si="4"/>
        <v>1.2577955543410178E-2</v>
      </c>
      <c r="P22" s="127">
        <f t="shared" si="5"/>
        <v>1.0421964311759478E-2</v>
      </c>
      <c r="Q22" s="72"/>
      <c r="R22" s="71"/>
      <c r="S22" s="72"/>
      <c r="T22" s="32"/>
      <c r="U22" s="72"/>
      <c r="V22" s="72"/>
      <c r="W22" s="71"/>
      <c r="X22" s="71"/>
    </row>
    <row r="23" spans="1:25" x14ac:dyDescent="0.35">
      <c r="A23">
        <f t="shared" si="3"/>
        <v>1995</v>
      </c>
      <c r="B23" s="32">
        <v>40.393665990713885</v>
      </c>
      <c r="C23" s="117">
        <v>565.08074710345034</v>
      </c>
      <c r="D23" s="32">
        <v>11.802474493808218</v>
      </c>
      <c r="E23" s="32">
        <f t="shared" si="0"/>
        <v>372.20283563673598</v>
      </c>
      <c r="F23" s="32">
        <v>360.97</v>
      </c>
      <c r="G23" s="34">
        <v>0.37690000000000001</v>
      </c>
      <c r="H23" s="34">
        <f t="shared" si="1"/>
        <v>0.91690000000000005</v>
      </c>
      <c r="I23" s="32">
        <v>6.4178408181818183</v>
      </c>
      <c r="J23" s="32">
        <f>J22+I23+PARAMETERS!$B$14</f>
        <v>393.53695399999998</v>
      </c>
      <c r="K23" s="34">
        <f>J23*PARAMETERS!$B$9</f>
        <v>0.86175975328467158</v>
      </c>
      <c r="L23" s="55">
        <v>5.6726000000000001</v>
      </c>
      <c r="N23" s="127">
        <f t="shared" si="2"/>
        <v>3.0975790148141464E-2</v>
      </c>
      <c r="O23" s="127">
        <f t="shared" si="4"/>
        <v>1.827044324793824E-2</v>
      </c>
      <c r="P23" s="127">
        <f t="shared" si="5"/>
        <v>2.3447885997388694E-2</v>
      </c>
      <c r="Q23" s="72"/>
      <c r="R23" s="73"/>
      <c r="S23" s="72"/>
      <c r="T23" s="32"/>
      <c r="U23" s="72"/>
      <c r="V23" s="72"/>
      <c r="W23" s="71"/>
      <c r="X23" s="71"/>
    </row>
    <row r="24" spans="1:25" x14ac:dyDescent="0.35">
      <c r="A24">
        <f t="shared" si="3"/>
        <v>1996</v>
      </c>
      <c r="B24" s="32">
        <v>41.840682592167603</v>
      </c>
      <c r="C24" s="117">
        <v>582.15173199695755</v>
      </c>
      <c r="D24" s="32">
        <v>12.124782881958904</v>
      </c>
      <c r="E24" s="32">
        <f t="shared" si="0"/>
        <v>382.367152965456</v>
      </c>
      <c r="F24" s="32">
        <v>362.74</v>
      </c>
      <c r="G24" s="34">
        <v>0.2767</v>
      </c>
      <c r="H24" s="34">
        <f t="shared" si="1"/>
        <v>0.81669999999999998</v>
      </c>
      <c r="I24" s="32">
        <v>6.6158642727272721</v>
      </c>
      <c r="J24" s="32">
        <f>J23+I24+PARAMETERS!$B$14</f>
        <v>401.65281827272725</v>
      </c>
      <c r="K24" s="34">
        <f>J24*PARAMETERS!$B$9</f>
        <v>0.87953171884538817</v>
      </c>
      <c r="L24" s="55">
        <v>5.7527999999999997</v>
      </c>
      <c r="N24" s="127">
        <f t="shared" si="2"/>
        <v>3.5822859004339284E-2</v>
      </c>
      <c r="O24" s="127">
        <f t="shared" si="4"/>
        <v>2.7308543502447293E-2</v>
      </c>
      <c r="P24" s="127">
        <f t="shared" si="5"/>
        <v>3.0855152091720787E-2</v>
      </c>
      <c r="Q24" s="72"/>
      <c r="R24" s="73"/>
      <c r="S24" s="72"/>
      <c r="T24" s="32"/>
      <c r="U24" s="72"/>
      <c r="V24" s="72"/>
      <c r="W24" s="71"/>
      <c r="X24" s="71"/>
    </row>
    <row r="25" spans="1:25" x14ac:dyDescent="0.35">
      <c r="A25">
        <f t="shared" si="3"/>
        <v>1997</v>
      </c>
      <c r="B25" s="32">
        <v>43.494798274841926</v>
      </c>
      <c r="C25" s="117">
        <v>600.49202282134547</v>
      </c>
      <c r="D25" s="32">
        <v>12.251299937420091</v>
      </c>
      <c r="E25" s="32">
        <f t="shared" si="0"/>
        <v>386.35699482647993</v>
      </c>
      <c r="F25" s="32">
        <v>363.88</v>
      </c>
      <c r="G25" s="34">
        <v>0.42230000000000001</v>
      </c>
      <c r="H25" s="34">
        <f t="shared" si="1"/>
        <v>0.96230000000000004</v>
      </c>
      <c r="I25" s="32">
        <v>6.6550652727272723</v>
      </c>
      <c r="J25" s="32">
        <f>J24+I25+PARAMETERS!$B$14</f>
        <v>409.8078835454545</v>
      </c>
      <c r="K25" s="34">
        <f>J25*PARAMETERS!$B$9</f>
        <v>0.89738952601194422</v>
      </c>
      <c r="L25" s="55">
        <v>5.8334000000000001</v>
      </c>
      <c r="N25" s="127">
        <f t="shared" si="2"/>
        <v>3.9533668673559515E-2</v>
      </c>
      <c r="O25" s="127">
        <f t="shared" si="4"/>
        <v>1.0434583175047096E-2</v>
      </c>
      <c r="P25" s="127">
        <f t="shared" si="5"/>
        <v>5.9253029360955061E-3</v>
      </c>
      <c r="Q25" s="72"/>
      <c r="R25" s="71"/>
      <c r="S25" s="72"/>
      <c r="T25" s="32"/>
      <c r="U25" s="72"/>
      <c r="V25" s="72"/>
      <c r="W25" s="71"/>
      <c r="X25" s="71"/>
    </row>
    <row r="26" spans="1:25" x14ac:dyDescent="0.35">
      <c r="A26">
        <f t="shared" si="3"/>
        <v>1998</v>
      </c>
      <c r="B26" s="32">
        <v>44.731408554893612</v>
      </c>
      <c r="C26" s="117">
        <v>619.83893830261025</v>
      </c>
      <c r="D26" s="32">
        <v>12.321624528767122</v>
      </c>
      <c r="E26" s="32">
        <f t="shared" si="0"/>
        <v>388.57475113919998</v>
      </c>
      <c r="F26" s="32">
        <v>366.84</v>
      </c>
      <c r="G26" s="34">
        <v>0.57730000000000004</v>
      </c>
      <c r="H26" s="34">
        <f t="shared" si="1"/>
        <v>1.1173000000000002</v>
      </c>
      <c r="I26" s="32">
        <v>6.6283030909090899</v>
      </c>
      <c r="J26" s="32">
        <f>J25+I26+PARAMETERS!$B$14</f>
        <v>417.93618663636357</v>
      </c>
      <c r="K26" s="34">
        <f>J26*PARAMETERS!$B$9</f>
        <v>0.91518872986065025</v>
      </c>
      <c r="L26" s="55">
        <v>5.9146000000000001</v>
      </c>
      <c r="N26" s="127">
        <f t="shared" si="2"/>
        <v>2.8431222332325666E-2</v>
      </c>
      <c r="O26" s="127">
        <f t="shared" si="4"/>
        <v>5.7401738351236789E-3</v>
      </c>
      <c r="P26" s="127">
        <f t="shared" si="5"/>
        <v>-4.0213252194317263E-3</v>
      </c>
      <c r="Q26" s="72"/>
      <c r="R26" s="71"/>
      <c r="S26" s="72"/>
      <c r="T26" s="32"/>
      <c r="U26" s="72"/>
      <c r="V26" s="72"/>
      <c r="W26" s="71"/>
      <c r="X26" s="71"/>
    </row>
    <row r="27" spans="1:25" x14ac:dyDescent="0.35">
      <c r="A27">
        <f t="shared" si="3"/>
        <v>1999</v>
      </c>
      <c r="B27" s="32">
        <v>46.336851678223788</v>
      </c>
      <c r="C27" s="117">
        <v>637.55882970695575</v>
      </c>
      <c r="D27" s="32">
        <v>12.523212296335617</v>
      </c>
      <c r="E27" s="32">
        <f t="shared" si="0"/>
        <v>394.93202297723997</v>
      </c>
      <c r="F27" s="32">
        <v>368.54</v>
      </c>
      <c r="G27" s="34">
        <v>0.32450000000000001</v>
      </c>
      <c r="H27" s="34">
        <f t="shared" si="1"/>
        <v>0.86450000000000005</v>
      </c>
      <c r="I27" s="32">
        <v>6.7782899999999993</v>
      </c>
      <c r="J27" s="32">
        <f>J26+I27+PARAMETERS!$B$14</f>
        <v>426.2144766363636</v>
      </c>
      <c r="K27" s="34">
        <f>J27*PARAMETERS!$B$9</f>
        <v>0.93331637219641672</v>
      </c>
      <c r="L27" s="55">
        <v>5.9966999999999997</v>
      </c>
      <c r="N27" s="127">
        <f t="shared" si="2"/>
        <v>3.5890734837021813E-2</v>
      </c>
      <c r="O27" s="127">
        <f t="shared" si="4"/>
        <v>1.6360486159747032E-2</v>
      </c>
      <c r="P27" s="127">
        <f t="shared" si="5"/>
        <v>2.2628251459505644E-2</v>
      </c>
      <c r="Q27" s="72"/>
      <c r="R27" s="74"/>
      <c r="S27" s="72"/>
      <c r="T27" s="32"/>
      <c r="U27" s="72"/>
      <c r="V27" s="72"/>
      <c r="W27" s="71"/>
      <c r="X27" s="71"/>
    </row>
    <row r="28" spans="1:25" x14ac:dyDescent="0.35">
      <c r="A28">
        <f t="shared" si="3"/>
        <v>2000</v>
      </c>
      <c r="B28" s="32">
        <v>48.437263200387974</v>
      </c>
      <c r="C28" s="117">
        <v>658.70458725905405</v>
      </c>
      <c r="D28" s="32">
        <v>12.842047652865297</v>
      </c>
      <c r="E28" s="32">
        <f t="shared" si="0"/>
        <v>404.98681478076008</v>
      </c>
      <c r="F28" s="32">
        <v>369.71</v>
      </c>
      <c r="G28" s="34">
        <v>0.33110000000000001</v>
      </c>
      <c r="H28" s="34">
        <f t="shared" si="1"/>
        <v>0.87109999999999999</v>
      </c>
      <c r="I28" s="32">
        <v>6.9574238181818178</v>
      </c>
      <c r="J28" s="32">
        <f>J27+I28+PARAMETERS!$B$14</f>
        <v>434.67190045454544</v>
      </c>
      <c r="K28" s="34">
        <f>J28*PARAMETERS!$B$9</f>
        <v>0.95183627836761786</v>
      </c>
      <c r="L28" s="55">
        <v>6.08</v>
      </c>
      <c r="N28" s="127">
        <f t="shared" si="2"/>
        <v>4.5329180686466117E-2</v>
      </c>
      <c r="O28" s="127">
        <f t="shared" si="4"/>
        <v>2.5459550551816004E-2</v>
      </c>
      <c r="P28" s="127">
        <f t="shared" si="5"/>
        <v>2.6427582499689233E-2</v>
      </c>
      <c r="Q28" s="72"/>
      <c r="R28" s="71"/>
      <c r="S28" s="72"/>
      <c r="T28" s="32"/>
      <c r="U28" s="72"/>
      <c r="V28" s="72"/>
      <c r="W28" s="71"/>
      <c r="X28" s="71"/>
    </row>
    <row r="29" spans="1:25" x14ac:dyDescent="0.35">
      <c r="A29">
        <f t="shared" si="3"/>
        <v>2001</v>
      </c>
      <c r="B29" s="32">
        <v>49.422295421127075</v>
      </c>
      <c r="C29" s="117">
        <v>676.1828364519555</v>
      </c>
      <c r="D29" s="32">
        <v>12.972955124942924</v>
      </c>
      <c r="E29" s="32">
        <f t="shared" si="0"/>
        <v>409.11511282020001</v>
      </c>
      <c r="F29" s="32">
        <v>371.32</v>
      </c>
      <c r="G29" s="34">
        <v>0.48930000000000001</v>
      </c>
      <c r="H29" s="34">
        <f t="shared" si="1"/>
        <v>1.0293000000000001</v>
      </c>
      <c r="I29" s="32">
        <v>7.0108071818181807</v>
      </c>
      <c r="J29" s="32">
        <f>J28+I29+PARAMETERS!$B$14</f>
        <v>443.1827076363636</v>
      </c>
      <c r="K29" s="34">
        <f>J29*PARAMETERS!$B$9</f>
        <v>0.97047308241539487</v>
      </c>
      <c r="L29" s="55">
        <v>6.1646000000000001</v>
      </c>
      <c r="N29" s="127">
        <f t="shared" si="2"/>
        <v>2.0336248492487295E-2</v>
      </c>
      <c r="O29" s="127">
        <f t="shared" si="4"/>
        <v>1.0193660358238855E-2</v>
      </c>
      <c r="P29" s="127">
        <f t="shared" si="5"/>
        <v>7.6728635528651237E-3</v>
      </c>
      <c r="Q29" s="72"/>
      <c r="R29" s="71"/>
      <c r="S29" s="72"/>
      <c r="T29" s="32"/>
      <c r="U29" s="72"/>
      <c r="V29" s="71"/>
      <c r="W29" s="72"/>
      <c r="X29" s="71"/>
      <c r="Y29" s="71"/>
    </row>
    <row r="30" spans="1:25" x14ac:dyDescent="0.35">
      <c r="A30">
        <f t="shared" si="3"/>
        <v>2002</v>
      </c>
      <c r="B30" s="32">
        <v>50.567138353080395</v>
      </c>
      <c r="C30" s="117">
        <v>686.35273170465757</v>
      </c>
      <c r="D30" s="32">
        <v>13.224755605205479</v>
      </c>
      <c r="E30" s="32">
        <f t="shared" si="0"/>
        <v>417.05589276576001</v>
      </c>
      <c r="F30" s="32">
        <v>373.45</v>
      </c>
      <c r="G30" s="34">
        <v>0.54349999999999998</v>
      </c>
      <c r="H30" s="34">
        <f t="shared" si="1"/>
        <v>1.0834999999999999</v>
      </c>
      <c r="I30" s="32">
        <v>7.1664190909090904</v>
      </c>
      <c r="J30" s="32">
        <f>J29+I30+PARAMETERS!$B$14</f>
        <v>451.84912672727268</v>
      </c>
      <c r="K30" s="34">
        <f>J30*PARAMETERS!$B$9</f>
        <v>0.98945064246848036</v>
      </c>
      <c r="L30" s="55">
        <v>6.2503000000000002</v>
      </c>
      <c r="N30" s="127">
        <f t="shared" si="2"/>
        <v>2.3164503433078552E-2</v>
      </c>
      <c r="O30" s="127">
        <f t="shared" si="4"/>
        <v>1.9409647057085786E-2</v>
      </c>
      <c r="P30" s="127">
        <f t="shared" si="5"/>
        <v>2.2196004690369087E-2</v>
      </c>
      <c r="Q30" s="72"/>
      <c r="S30" s="72"/>
      <c r="T30" s="32"/>
      <c r="U30" s="72"/>
    </row>
    <row r="31" spans="1:25" x14ac:dyDescent="0.35">
      <c r="A31">
        <f t="shared" si="3"/>
        <v>2003</v>
      </c>
      <c r="B31" s="32">
        <v>52.13151818762136</v>
      </c>
      <c r="C31" s="117">
        <v>701.69570258593387</v>
      </c>
      <c r="D31" s="32">
        <v>13.683238458561645</v>
      </c>
      <c r="E31" s="32">
        <f t="shared" si="0"/>
        <v>431.51460802920002</v>
      </c>
      <c r="F31" s="32">
        <v>375.98</v>
      </c>
      <c r="G31" s="34">
        <v>0.54420000000000002</v>
      </c>
      <c r="H31" s="34">
        <f t="shared" si="1"/>
        <v>1.0842000000000001</v>
      </c>
      <c r="I31" s="32">
        <v>7.5462245454545451</v>
      </c>
      <c r="J31" s="32">
        <f>J30+I31+PARAMETERS!$B$14</f>
        <v>460.89535127272723</v>
      </c>
      <c r="K31" s="34">
        <f>J31*PARAMETERS!$B$9</f>
        <v>1.0092598932979429</v>
      </c>
      <c r="L31" s="55">
        <v>6.3371000000000004</v>
      </c>
      <c r="N31" s="127">
        <f t="shared" si="2"/>
        <v>3.0936689033455415E-2</v>
      </c>
      <c r="O31" s="127">
        <f t="shared" si="4"/>
        <v>3.4668531278997695E-2</v>
      </c>
      <c r="P31" s="127">
        <f t="shared" si="5"/>
        <v>5.2997940774529122E-2</v>
      </c>
      <c r="Q31" s="72"/>
      <c r="S31" s="72"/>
      <c r="T31" s="32"/>
      <c r="U31" s="72"/>
    </row>
    <row r="32" spans="1:25" x14ac:dyDescent="0.35">
      <c r="A32">
        <f t="shared" si="3"/>
        <v>2004</v>
      </c>
      <c r="B32" s="32">
        <v>54.463866515800866</v>
      </c>
      <c r="C32" s="117">
        <v>719.46754174742011</v>
      </c>
      <c r="D32" s="32">
        <v>14.275667452682649</v>
      </c>
      <c r="E32" s="32">
        <f t="shared" si="0"/>
        <v>450.19744878779994</v>
      </c>
      <c r="F32" s="32">
        <v>377.7</v>
      </c>
      <c r="G32" s="34">
        <v>0.46739999999999998</v>
      </c>
      <c r="H32" s="34">
        <f t="shared" si="1"/>
        <v>1.0074000000000001</v>
      </c>
      <c r="I32" s="32">
        <v>7.8088652727272718</v>
      </c>
      <c r="J32" s="32">
        <f>J31+I32+PARAMETERS!$B$14</f>
        <v>470.20421654545447</v>
      </c>
      <c r="K32" s="34">
        <f>J32*PARAMETERS!$B$9</f>
        <v>1.0296442698075645</v>
      </c>
      <c r="L32" s="55">
        <v>6.4245000000000001</v>
      </c>
      <c r="N32" s="127">
        <f t="shared" si="2"/>
        <v>4.4739697006048885E-2</v>
      </c>
      <c r="O32" s="127">
        <f t="shared" si="4"/>
        <v>4.3295963591887816E-2</v>
      </c>
      <c r="P32" s="127">
        <f t="shared" si="5"/>
        <v>3.4804255517539281E-2</v>
      </c>
      <c r="Q32" s="72"/>
      <c r="S32" s="72"/>
      <c r="T32" s="32"/>
      <c r="U32" s="72"/>
    </row>
    <row r="33" spans="1:21" x14ac:dyDescent="0.35">
      <c r="A33">
        <f t="shared" si="3"/>
        <v>2005</v>
      </c>
      <c r="B33" s="32">
        <v>56.65357944388542</v>
      </c>
      <c r="C33" s="117">
        <v>739.30937841906098</v>
      </c>
      <c r="D33" s="32">
        <v>14.720310269349316</v>
      </c>
      <c r="E33" s="32">
        <f t="shared" si="0"/>
        <v>464.21970465419997</v>
      </c>
      <c r="F33" s="32">
        <v>379.98</v>
      </c>
      <c r="G33" s="34">
        <v>0.6069</v>
      </c>
      <c r="H33" s="34">
        <f t="shared" si="1"/>
        <v>1.1469</v>
      </c>
      <c r="I33" s="32">
        <v>8.0766531818181804</v>
      </c>
      <c r="J33" s="32">
        <f>J32+I33+PARAMETERS!$B$14</f>
        <v>479.78086972727266</v>
      </c>
      <c r="K33" s="34">
        <f>J33*PARAMETERS!$B$9</f>
        <v>1.0506150431984074</v>
      </c>
      <c r="L33" s="55">
        <v>6.5124000000000004</v>
      </c>
      <c r="N33" s="127">
        <f t="shared" si="2"/>
        <v>4.0204874684196014E-2</v>
      </c>
      <c r="O33" s="127">
        <f t="shared" si="4"/>
        <v>3.1146902107411483E-2</v>
      </c>
      <c r="P33" s="127">
        <f t="shared" si="5"/>
        <v>3.4292806923711047E-2</v>
      </c>
      <c r="Q33" s="72"/>
      <c r="S33" s="72"/>
      <c r="T33" s="32"/>
      <c r="U33" s="72"/>
    </row>
    <row r="34" spans="1:21" x14ac:dyDescent="0.35">
      <c r="A34">
        <f t="shared" si="3"/>
        <v>2006</v>
      </c>
      <c r="B34" s="32">
        <v>59.180664984371901</v>
      </c>
      <c r="C34" s="117">
        <v>773.78817942680598</v>
      </c>
      <c r="D34" s="32">
        <v>15.094469614805934</v>
      </c>
      <c r="E34" s="32">
        <f t="shared" si="0"/>
        <v>476.01919377251988</v>
      </c>
      <c r="F34" s="32">
        <v>382.09</v>
      </c>
      <c r="G34" s="34">
        <v>0.5726</v>
      </c>
      <c r="H34" s="34">
        <f t="shared" si="1"/>
        <v>1.1126</v>
      </c>
      <c r="I34" s="32">
        <v>8.3531991818181819</v>
      </c>
      <c r="J34" s="32">
        <f>J33+I34+PARAMETERS!$B$14</f>
        <v>489.63406890909084</v>
      </c>
      <c r="K34" s="34">
        <f>J34*PARAMETERS!$B$9</f>
        <v>1.0721913917717318</v>
      </c>
      <c r="L34" s="55">
        <v>6.6005000000000003</v>
      </c>
      <c r="N34" s="127">
        <f t="shared" si="2"/>
        <v>4.4605928968522189E-2</v>
      </c>
      <c r="O34" s="127">
        <f t="shared" si="4"/>
        <v>2.5417898034098815E-2</v>
      </c>
      <c r="P34" s="127">
        <f t="shared" si="5"/>
        <v>3.4240172726810923E-2</v>
      </c>
      <c r="Q34" s="72"/>
      <c r="S34" s="72"/>
      <c r="T34" s="32"/>
      <c r="U34" s="72"/>
    </row>
    <row r="35" spans="1:21" x14ac:dyDescent="0.35">
      <c r="A35">
        <f t="shared" si="3"/>
        <v>2007</v>
      </c>
      <c r="B35" s="32">
        <v>61.768752251196396</v>
      </c>
      <c r="C35" s="117">
        <v>804.96592812735832</v>
      </c>
      <c r="D35" s="32">
        <v>15.544277458105023</v>
      </c>
      <c r="E35" s="32">
        <f t="shared" si="0"/>
        <v>490.20433391880005</v>
      </c>
      <c r="F35" s="32">
        <v>384.02</v>
      </c>
      <c r="G35" s="34">
        <v>0.5917</v>
      </c>
      <c r="H35" s="34">
        <f t="shared" si="1"/>
        <v>1.1316999999999999</v>
      </c>
      <c r="I35" s="32">
        <v>8.6003577272727263</v>
      </c>
      <c r="J35" s="32">
        <f>J34+I35+PARAMETERS!$B$14</f>
        <v>499.73442663636359</v>
      </c>
      <c r="K35" s="34">
        <f>J35*PARAMETERS!$B$9</f>
        <v>1.0943089634372927</v>
      </c>
      <c r="L35" s="55">
        <v>6.6885000000000003</v>
      </c>
      <c r="N35" s="127">
        <f t="shared" si="2"/>
        <v>4.3731973398878542E-2</v>
      </c>
      <c r="O35" s="127">
        <f t="shared" si="4"/>
        <v>2.9799512985728194E-2</v>
      </c>
      <c r="P35" s="127">
        <f t="shared" si="5"/>
        <v>2.9588489400865354E-2</v>
      </c>
      <c r="Q35" s="72"/>
      <c r="S35" s="72"/>
      <c r="T35" s="32"/>
      <c r="U35" s="72"/>
    </row>
    <row r="36" spans="1:21" x14ac:dyDescent="0.35">
      <c r="A36">
        <f t="shared" si="3"/>
        <v>2008</v>
      </c>
      <c r="B36" s="32">
        <v>63.038812186080818</v>
      </c>
      <c r="C36" s="117">
        <v>816.10010910110373</v>
      </c>
      <c r="D36" s="32">
        <v>15.67870726369863</v>
      </c>
      <c r="E36" s="32">
        <f t="shared" si="0"/>
        <v>494.44371226799996</v>
      </c>
      <c r="F36" s="32">
        <v>385.83</v>
      </c>
      <c r="G36" s="34">
        <v>0.46560000000000001</v>
      </c>
      <c r="H36" s="34">
        <f t="shared" si="1"/>
        <v>1.0056</v>
      </c>
      <c r="I36" s="32">
        <v>8.7475090909090909</v>
      </c>
      <c r="J36" s="32">
        <f>J35+I36+PARAMETERS!$B$14</f>
        <v>509.98193572727268</v>
      </c>
      <c r="K36" s="34">
        <f>J36*PARAMETERS!$B$9</f>
        <v>1.1167487643662906</v>
      </c>
      <c r="L36" s="55">
        <v>6.7763</v>
      </c>
      <c r="N36" s="127">
        <f t="shared" si="2"/>
        <v>2.0561528096268489E-2</v>
      </c>
      <c r="O36" s="127">
        <f t="shared" si="4"/>
        <v>8.6481861865836101E-3</v>
      </c>
      <c r="P36" s="127">
        <f t="shared" si="5"/>
        <v>1.7109911971420755E-2</v>
      </c>
      <c r="Q36" s="72"/>
      <c r="S36" s="72"/>
      <c r="T36" s="32"/>
      <c r="U36" s="72"/>
    </row>
    <row r="37" spans="1:21" x14ac:dyDescent="0.35">
      <c r="A37">
        <f t="shared" si="3"/>
        <v>2009</v>
      </c>
      <c r="B37" s="32">
        <v>62.192598074458644</v>
      </c>
      <c r="C37" s="117">
        <v>826.08531137893897</v>
      </c>
      <c r="D37" s="32">
        <v>15.422635928652968</v>
      </c>
      <c r="E37" s="32">
        <f t="shared" si="0"/>
        <v>486.36824664599993</v>
      </c>
      <c r="F37" s="32">
        <v>387.64</v>
      </c>
      <c r="G37" s="34">
        <v>0.5968</v>
      </c>
      <c r="H37" s="34">
        <f t="shared" si="1"/>
        <v>1.1368</v>
      </c>
      <c r="I37" s="32">
        <v>8.6023423636363621</v>
      </c>
      <c r="J37" s="32">
        <f>J36+I37+PARAMETERS!$B$14</f>
        <v>520.08427809090904</v>
      </c>
      <c r="K37" s="34">
        <f>J37*PARAMETERS!$B$9</f>
        <v>1.1388706819508958</v>
      </c>
      <c r="L37" s="55">
        <v>6.8635000000000002</v>
      </c>
      <c r="N37" s="127">
        <f t="shared" si="2"/>
        <v>-1.3423700134518419E-2</v>
      </c>
      <c r="O37" s="127">
        <f t="shared" si="4"/>
        <v>-1.6332426566733099E-2</v>
      </c>
      <c r="P37" s="127">
        <f t="shared" si="5"/>
        <v>-1.659520736292739E-2</v>
      </c>
      <c r="Q37" s="72"/>
      <c r="S37" s="72"/>
      <c r="T37" s="32"/>
      <c r="U37" s="72"/>
    </row>
    <row r="38" spans="1:21" x14ac:dyDescent="0.35">
      <c r="A38">
        <f t="shared" si="3"/>
        <v>2010</v>
      </c>
      <c r="B38" s="32">
        <v>65.00210544872121</v>
      </c>
      <c r="C38" s="117">
        <v>846.80180606434908</v>
      </c>
      <c r="D38" s="32">
        <v>16.09105307477169</v>
      </c>
      <c r="E38" s="32">
        <f t="shared" si="0"/>
        <v>507.44744976600003</v>
      </c>
      <c r="F38" s="32">
        <v>390.1</v>
      </c>
      <c r="G38" s="34">
        <v>0.6804</v>
      </c>
      <c r="H38" s="34">
        <f t="shared" si="1"/>
        <v>1.2204000000000002</v>
      </c>
      <c r="I38" s="32">
        <v>9.0970644545454533</v>
      </c>
      <c r="J38" s="32">
        <f>J37+I38+PARAMETERS!$B$14</f>
        <v>530.68134254545453</v>
      </c>
      <c r="K38" s="34">
        <f>J38*PARAMETERS!$B$9</f>
        <v>1.1620759325812873</v>
      </c>
      <c r="L38" s="55">
        <v>6.95</v>
      </c>
      <c r="N38" s="127">
        <f t="shared" si="2"/>
        <v>4.5174304680099524E-2</v>
      </c>
      <c r="O38" s="127">
        <f t="shared" si="4"/>
        <v>4.3340006806288051E-2</v>
      </c>
      <c r="P38" s="127">
        <f t="shared" si="5"/>
        <v>5.7510160604670874E-2</v>
      </c>
      <c r="Q38" s="72"/>
      <c r="S38" s="72"/>
      <c r="T38" s="32"/>
      <c r="U38" s="72"/>
    </row>
    <row r="39" spans="1:21" x14ac:dyDescent="0.35">
      <c r="A39">
        <f t="shared" si="3"/>
        <v>2011</v>
      </c>
      <c r="B39" s="32">
        <v>67.170761718394303</v>
      </c>
      <c r="C39" s="117">
        <v>873.23381309247168</v>
      </c>
      <c r="D39" s="32">
        <v>16.440876147260273</v>
      </c>
      <c r="E39" s="32">
        <f t="shared" si="0"/>
        <v>518.47947017999991</v>
      </c>
      <c r="F39" s="32">
        <v>391.85</v>
      </c>
      <c r="G39" s="34">
        <v>0.53769999999999996</v>
      </c>
      <c r="H39" s="34">
        <f t="shared" si="1"/>
        <v>1.0777000000000001</v>
      </c>
      <c r="I39" s="32">
        <v>9.4103290909090909</v>
      </c>
      <c r="J39" s="32">
        <f>J38+I39+PARAMETERS!$B$14</f>
        <v>541.59167163636357</v>
      </c>
      <c r="K39" s="34">
        <f>J39*PARAMETERS!$B$9</f>
        <v>1.1859671641672196</v>
      </c>
      <c r="L39" s="55">
        <v>7.0362999999999998</v>
      </c>
      <c r="N39" s="127">
        <f t="shared" si="2"/>
        <v>3.3362861936586045E-2</v>
      </c>
      <c r="O39" s="127">
        <f t="shared" si="4"/>
        <v>2.1740222399555191E-2</v>
      </c>
      <c r="P39" s="127">
        <f t="shared" si="5"/>
        <v>3.4435793868329831E-2</v>
      </c>
      <c r="Q39" s="72"/>
      <c r="S39" s="72"/>
      <c r="T39" s="32"/>
      <c r="U39" s="72"/>
    </row>
    <row r="40" spans="1:21" x14ac:dyDescent="0.35">
      <c r="A40">
        <f t="shared" si="3"/>
        <v>2012</v>
      </c>
      <c r="B40" s="32">
        <v>68.978972328520314</v>
      </c>
      <c r="C40" s="117">
        <v>901.57861891264008</v>
      </c>
      <c r="D40" s="32">
        <v>16.644203033105022</v>
      </c>
      <c r="E40" s="32">
        <f t="shared" si="0"/>
        <v>524.89158685199993</v>
      </c>
      <c r="F40" s="32">
        <v>394.06</v>
      </c>
      <c r="G40" s="34">
        <v>0.5776</v>
      </c>
      <c r="H40" s="34">
        <f t="shared" si="1"/>
        <v>1.1175999999999999</v>
      </c>
      <c r="I40" s="32">
        <v>9.5454600000000003</v>
      </c>
      <c r="J40" s="32">
        <f>J39+I40+PARAMETERS!$B$14</f>
        <v>552.63713163636362</v>
      </c>
      <c r="K40" s="34">
        <f>J40*PARAMETERS!$B$9</f>
        <v>1.210154302853351</v>
      </c>
      <c r="L40" s="55">
        <v>7.1230000000000002</v>
      </c>
      <c r="N40" s="127">
        <f t="shared" si="2"/>
        <v>2.6919608530073337E-2</v>
      </c>
      <c r="O40" s="127">
        <f t="shared" si="4"/>
        <v>1.236715635003624E-2</v>
      </c>
      <c r="P40" s="127">
        <f t="shared" si="5"/>
        <v>1.4359849457491716E-2</v>
      </c>
      <c r="Q40" s="72"/>
      <c r="S40" s="72"/>
      <c r="T40" s="32"/>
      <c r="U40" s="72"/>
    </row>
    <row r="41" spans="1:21" x14ac:dyDescent="0.35">
      <c r="A41">
        <f t="shared" si="3"/>
        <v>2013</v>
      </c>
      <c r="B41" s="32">
        <v>70.960627147647529</v>
      </c>
      <c r="C41" s="117">
        <v>930.23078473510191</v>
      </c>
      <c r="D41" s="32">
        <v>16.866861292237441</v>
      </c>
      <c r="E41" s="32">
        <f t="shared" si="0"/>
        <v>531.91333771199982</v>
      </c>
      <c r="F41" s="32">
        <v>396.74</v>
      </c>
      <c r="G41" s="34">
        <v>0.62360000000000004</v>
      </c>
      <c r="H41" s="34">
        <f t="shared" si="1"/>
        <v>1.1636000000000002</v>
      </c>
      <c r="I41" s="32">
        <v>9.6277240909090906</v>
      </c>
      <c r="J41" s="32">
        <f>J40+I41+PARAMETERS!$B$14</f>
        <v>563.76485572727267</v>
      </c>
      <c r="K41" s="34">
        <f>J41*PARAMETERS!$B$9</f>
        <v>1.2345215818845388</v>
      </c>
      <c r="L41" s="55">
        <v>7.2098000000000004</v>
      </c>
      <c r="N41" s="127">
        <f t="shared" si="2"/>
        <v>2.8728390003976211E-2</v>
      </c>
      <c r="O41" s="127">
        <f t="shared" si="4"/>
        <v>1.3377526018491619E-2</v>
      </c>
      <c r="P41" s="127">
        <f t="shared" si="5"/>
        <v>8.6181379324925533E-3</v>
      </c>
      <c r="Q41" s="72"/>
      <c r="S41" s="72"/>
      <c r="T41" s="32"/>
      <c r="U41" s="72"/>
    </row>
    <row r="42" spans="1:21" x14ac:dyDescent="0.35">
      <c r="A42">
        <f t="shared" si="3"/>
        <v>2014</v>
      </c>
      <c r="B42" s="32">
        <v>73.182741848317406</v>
      </c>
      <c r="C42" s="117">
        <v>957.77321382616014</v>
      </c>
      <c r="D42" s="32">
        <v>16.98540617351598</v>
      </c>
      <c r="E42" s="32">
        <f t="shared" si="0"/>
        <v>535.65176908799992</v>
      </c>
      <c r="F42" s="32">
        <v>398.81</v>
      </c>
      <c r="G42" s="34">
        <v>0.67290000000000005</v>
      </c>
      <c r="H42" s="34">
        <f t="shared" si="1"/>
        <v>1.2129000000000001</v>
      </c>
      <c r="I42" s="32">
        <v>9.6682074545454544</v>
      </c>
      <c r="J42" s="32">
        <f>J41+I42+PARAMETERS!$B$14</f>
        <v>574.93306318181817</v>
      </c>
      <c r="K42" s="34">
        <f>J42*PARAMETERS!$B$9</f>
        <v>1.2589775106171202</v>
      </c>
      <c r="L42" s="55">
        <v>7.2965</v>
      </c>
      <c r="N42" s="127">
        <f t="shared" si="2"/>
        <v>3.1314755660858673E-2</v>
      </c>
      <c r="O42" s="127">
        <f t="shared" si="4"/>
        <v>7.0282715452871783E-3</v>
      </c>
      <c r="P42" s="127">
        <f t="shared" si="5"/>
        <v>4.2048736808515171E-3</v>
      </c>
      <c r="Q42" s="72"/>
      <c r="S42" s="72"/>
      <c r="T42" s="32"/>
      <c r="U42" s="72"/>
    </row>
    <row r="43" spans="1:21" x14ac:dyDescent="0.35">
      <c r="A43">
        <f t="shared" si="3"/>
        <v>2015</v>
      </c>
      <c r="B43" s="32">
        <v>75.472473882835061</v>
      </c>
      <c r="C43" s="117">
        <v>993.15571456584382</v>
      </c>
      <c r="D43" s="32">
        <v>17.067272062785385</v>
      </c>
      <c r="E43" s="32">
        <f t="shared" si="0"/>
        <v>538.23349177199987</v>
      </c>
      <c r="F43" s="32">
        <v>401.01</v>
      </c>
      <c r="G43" s="34">
        <v>0.82509999999999994</v>
      </c>
      <c r="H43" s="34">
        <f t="shared" si="1"/>
        <v>1.3651</v>
      </c>
      <c r="I43" s="32">
        <v>9.6558818181818182</v>
      </c>
      <c r="J43" s="32">
        <f>J42+I43+PARAMETERS!$B$14</f>
        <v>586.08894499999997</v>
      </c>
      <c r="K43" s="34">
        <f>J43*PARAMETERS!$B$9</f>
        <v>1.2834064489051096</v>
      </c>
      <c r="L43" s="55">
        <v>7.3829000000000002</v>
      </c>
      <c r="N43" s="127">
        <f t="shared" si="2"/>
        <v>3.1287868924936978E-2</v>
      </c>
      <c r="O43" s="127">
        <f t="shared" si="4"/>
        <v>4.8197781338342321E-3</v>
      </c>
      <c r="P43" s="127">
        <f t="shared" si="5"/>
        <v>-1.2748626280088063E-3</v>
      </c>
      <c r="Q43" s="72"/>
      <c r="S43" s="72"/>
      <c r="T43" s="32"/>
      <c r="U43" s="72"/>
    </row>
    <row r="44" spans="1:21" x14ac:dyDescent="0.35">
      <c r="A44">
        <f t="shared" si="3"/>
        <v>2016</v>
      </c>
      <c r="B44" s="32">
        <v>77.596070030857177</v>
      </c>
      <c r="C44" s="117">
        <v>1022.5838703501162</v>
      </c>
      <c r="D44" s="32">
        <v>17.186529674657532</v>
      </c>
      <c r="E44" s="32">
        <f t="shared" si="0"/>
        <v>541.9943998199999</v>
      </c>
      <c r="F44" s="32">
        <v>404.41</v>
      </c>
      <c r="G44" s="34">
        <v>0.93289999999999995</v>
      </c>
      <c r="H44" s="34">
        <f t="shared" si="1"/>
        <v>1.4729000000000001</v>
      </c>
      <c r="I44" s="32">
        <v>9.6590885454545443</v>
      </c>
      <c r="J44" s="32">
        <f>J43+I44+PARAMETERS!$B$14</f>
        <v>597.24803354545452</v>
      </c>
      <c r="K44" s="34">
        <f>J44*PARAMETERS!$B$9</f>
        <v>1.3078424092236232</v>
      </c>
      <c r="L44" s="55">
        <v>7.4686000000000003</v>
      </c>
      <c r="N44" s="127">
        <f t="shared" si="2"/>
        <v>2.8137359738847682E-2</v>
      </c>
      <c r="O44" s="127">
        <f t="shared" si="4"/>
        <v>6.9875028319366936E-3</v>
      </c>
      <c r="P44" s="127">
        <f t="shared" si="5"/>
        <v>3.3210092388329419E-4</v>
      </c>
      <c r="Q44" s="72"/>
      <c r="S44" s="72"/>
      <c r="T44" s="32"/>
      <c r="U44" s="72"/>
    </row>
    <row r="45" spans="1:21" x14ac:dyDescent="0.35">
      <c r="A45">
        <f t="shared" si="3"/>
        <v>2017</v>
      </c>
      <c r="B45" s="32">
        <v>80.274256581671864</v>
      </c>
      <c r="C45" s="117">
        <v>1055.4147943613948</v>
      </c>
      <c r="D45" s="32">
        <v>17.538717388127854</v>
      </c>
      <c r="E45" s="32">
        <f t="shared" si="0"/>
        <v>553.10099155199998</v>
      </c>
      <c r="F45" s="32">
        <v>406.76</v>
      </c>
      <c r="G45" s="34">
        <v>0.84519999999999995</v>
      </c>
      <c r="H45" s="34">
        <f t="shared" si="1"/>
        <v>1.3852</v>
      </c>
      <c r="I45" s="32">
        <v>9.8154264545454541</v>
      </c>
      <c r="J45" s="32">
        <f>J44+I45+PARAMETERS!$B$14</f>
        <v>608.56345999999996</v>
      </c>
      <c r="K45" s="34">
        <f>J45*PARAMETERS!$B$9</f>
        <v>1.3326207153284673</v>
      </c>
      <c r="L45" s="55">
        <v>7.5533999999999999</v>
      </c>
      <c r="N45" s="127">
        <f t="shared" si="2"/>
        <v>3.4514461231730777E-2</v>
      </c>
      <c r="O45" s="127">
        <f t="shared" si="4"/>
        <v>2.0492078397283519E-2</v>
      </c>
      <c r="P45" s="127">
        <f t="shared" si="5"/>
        <v>1.6185575725411551E-2</v>
      </c>
      <c r="Q45" s="72"/>
      <c r="S45" s="72"/>
      <c r="T45" s="32"/>
      <c r="U45" s="72"/>
    </row>
    <row r="46" spans="1:21" x14ac:dyDescent="0.35">
      <c r="A46">
        <f t="shared" si="3"/>
        <v>2018</v>
      </c>
      <c r="B46" s="32">
        <v>82.909015820695814</v>
      </c>
      <c r="C46" s="117">
        <v>1087.4628651877267</v>
      </c>
      <c r="D46" s="32">
        <v>17.946756575342466</v>
      </c>
      <c r="E46" s="32">
        <f t="shared" si="0"/>
        <v>565.96891535999987</v>
      </c>
      <c r="F46" s="32">
        <v>408.72</v>
      </c>
      <c r="G46" s="34">
        <v>0.76270000000000004</v>
      </c>
      <c r="H46" s="34">
        <f t="shared" si="1"/>
        <v>1.3027000000000002</v>
      </c>
      <c r="I46" s="32">
        <v>10.017388636363636</v>
      </c>
      <c r="J46" s="32">
        <f>J45+I46+PARAMETERS!$B$14</f>
        <v>620.08084863636361</v>
      </c>
      <c r="K46" s="34">
        <f>J46*PARAMETERS!$B$9</f>
        <v>1.3578412743861978</v>
      </c>
      <c r="L46" s="55">
        <v>7.6371000000000002</v>
      </c>
      <c r="N46" s="127">
        <f t="shared" si="2"/>
        <v>3.2821969971697194E-2</v>
      </c>
      <c r="O46" s="127">
        <f t="shared" si="4"/>
        <v>2.3265052864744739E-2</v>
      </c>
      <c r="P46" s="127">
        <f t="shared" si="5"/>
        <v>2.0575996647059034E-2</v>
      </c>
      <c r="Q46" s="72"/>
      <c r="S46" s="72"/>
      <c r="T46" s="32"/>
      <c r="U46" s="72"/>
    </row>
    <row r="47" spans="1:21" x14ac:dyDescent="0.35">
      <c r="A47">
        <f t="shared" si="3"/>
        <v>2019</v>
      </c>
      <c r="B47" s="33">
        <v>85.12763313750078</v>
      </c>
      <c r="D47" s="33">
        <v>18.077844371004563</v>
      </c>
      <c r="E47" s="32">
        <f t="shared" si="0"/>
        <v>570.10290008399988</v>
      </c>
      <c r="F47" s="33">
        <v>411.65</v>
      </c>
      <c r="G47" s="34">
        <v>0.8911</v>
      </c>
      <c r="H47" s="34">
        <f t="shared" si="1"/>
        <v>1.4311</v>
      </c>
      <c r="I47" s="32">
        <v>10.119347727272727</v>
      </c>
      <c r="J47" s="32">
        <f>J46+I47+PARAMETERS!$B$14</f>
        <v>631.70019636363634</v>
      </c>
      <c r="K47" s="34">
        <f>J47*PARAMETERS!$B$9</f>
        <v>1.3832851015262111</v>
      </c>
      <c r="L47" s="55">
        <v>7.7194000000000003</v>
      </c>
      <c r="N47" s="127">
        <f t="shared" si="2"/>
        <v>2.6759662924995826E-2</v>
      </c>
      <c r="O47" s="127">
        <f t="shared" si="4"/>
        <v>7.3042610853819743E-3</v>
      </c>
      <c r="P47" s="127">
        <f t="shared" si="5"/>
        <v>1.0178210570664504E-2</v>
      </c>
      <c r="T47" s="32"/>
      <c r="U47" s="72"/>
    </row>
    <row r="48" spans="1:21" x14ac:dyDescent="0.35">
      <c r="A48">
        <f t="shared" si="3"/>
        <v>2020</v>
      </c>
      <c r="B48" s="32">
        <v>82.677384726296424</v>
      </c>
      <c r="D48" s="32">
        <v>17.367425844748858</v>
      </c>
      <c r="E48" s="32">
        <f t="shared" si="0"/>
        <v>547.69914143999995</v>
      </c>
      <c r="F48" s="32">
        <v>414.21</v>
      </c>
      <c r="G48" s="34">
        <v>0.92290000000000005</v>
      </c>
      <c r="H48" s="34">
        <f t="shared" si="1"/>
        <v>1.4629000000000001</v>
      </c>
      <c r="I48" s="32">
        <v>9.5799616363636364</v>
      </c>
      <c r="J48" s="32">
        <f>J47+I48+PARAMETERS!$B$14</f>
        <v>642.78015800000003</v>
      </c>
      <c r="K48" s="34">
        <f>J48*PARAMETERS!$B$9</f>
        <v>1.407547791240876</v>
      </c>
      <c r="L48" s="56"/>
      <c r="N48" s="127">
        <f t="shared" si="2"/>
        <v>-2.8783231964721011E-2</v>
      </c>
      <c r="O48" s="127">
        <f t="shared" si="4"/>
        <v>-3.929774544332066E-2</v>
      </c>
      <c r="P48" s="127">
        <f t="shared" si="5"/>
        <v>-5.3302456388111562E-2</v>
      </c>
      <c r="T48" s="32"/>
      <c r="U48" s="72"/>
    </row>
    <row r="49" spans="1:21" x14ac:dyDescent="0.35">
      <c r="A49">
        <f t="shared" si="3"/>
        <v>2021</v>
      </c>
      <c r="B49" s="32">
        <v>87.92747271584517</v>
      </c>
      <c r="D49" s="32">
        <v>18.192969920091322</v>
      </c>
      <c r="E49" s="32">
        <f t="shared" si="0"/>
        <v>573.7334993999998</v>
      </c>
      <c r="F49" s="32">
        <v>416.41</v>
      </c>
      <c r="G49" s="34">
        <v>0.76190000000000002</v>
      </c>
      <c r="H49" s="34">
        <f t="shared" si="1"/>
        <v>1.3019000000000001</v>
      </c>
      <c r="I49" s="32">
        <v>10.088654727272726</v>
      </c>
      <c r="J49" s="32">
        <f>J48+I49+PARAMETERS!$B$14</f>
        <v>654.36881272727271</v>
      </c>
      <c r="K49" s="34">
        <f>J49*PARAMETERS!$B$9</f>
        <v>1.4329244074319842</v>
      </c>
      <c r="L49" s="56"/>
      <c r="N49" s="127">
        <f t="shared" si="2"/>
        <v>6.3500895764049242E-2</v>
      </c>
      <c r="O49" s="127">
        <f t="shared" si="4"/>
        <v>4.7534049243807289E-2</v>
      </c>
      <c r="P49" s="127">
        <f t="shared" si="5"/>
        <v>5.3099700209465452E-2</v>
      </c>
      <c r="T49" s="32"/>
      <c r="U49" s="72"/>
    </row>
    <row r="50" spans="1:21" x14ac:dyDescent="0.35">
      <c r="A50">
        <f t="shared" si="3"/>
        <v>2022</v>
      </c>
      <c r="B50" s="32">
        <v>90.77458297753877</v>
      </c>
      <c r="D50" s="32">
        <v>18.458537819634703</v>
      </c>
      <c r="E50" s="32">
        <f t="shared" si="0"/>
        <v>582.10844867999992</v>
      </c>
      <c r="F50" s="32">
        <v>418.53</v>
      </c>
      <c r="G50" s="34">
        <v>0.80130000000000001</v>
      </c>
      <c r="H50" s="34">
        <f t="shared" si="1"/>
        <v>1.3412999999999999</v>
      </c>
      <c r="I50" s="32">
        <v>10.171045636363637</v>
      </c>
      <c r="J50" s="32">
        <f>J49+I50+PARAMETERS!$B$14</f>
        <v>666.03985836363631</v>
      </c>
      <c r="K50" s="34">
        <f>J50*PARAMETERS!$B$9</f>
        <v>1.4584814416721965</v>
      </c>
      <c r="L50" s="56"/>
      <c r="N50" s="127">
        <f t="shared" si="2"/>
        <v>3.2380212620173841E-2</v>
      </c>
      <c r="O50" s="127">
        <f t="shared" si="4"/>
        <v>1.4597281296557432E-2</v>
      </c>
      <c r="P50" s="127">
        <f t="shared" si="5"/>
        <v>8.1666893474095521E-3</v>
      </c>
      <c r="T50" s="32"/>
      <c r="U50" s="72"/>
    </row>
    <row r="51" spans="1:21" x14ac:dyDescent="0.35">
      <c r="A51">
        <f>A50+1</f>
        <v>2023</v>
      </c>
      <c r="B51" s="32">
        <v>93.346688686736911</v>
      </c>
      <c r="D51" s="32">
        <v>18.765450644977172</v>
      </c>
      <c r="E51" s="32">
        <f t="shared" si="0"/>
        <v>591.78725154000006</v>
      </c>
      <c r="F51" s="32">
        <v>421.08</v>
      </c>
      <c r="G51" s="34">
        <v>1.1003000000000001</v>
      </c>
      <c r="H51" s="34">
        <f t="shared" si="1"/>
        <v>1.6403000000000001</v>
      </c>
      <c r="I51" s="32">
        <v>10.306791818181818</v>
      </c>
      <c r="J51" s="32">
        <f>J50+I51+PARAMETERS!$B$14</f>
        <v>677.84665018181818</v>
      </c>
      <c r="K51" s="34">
        <f>J51*PARAMETERS!$B$9</f>
        <v>1.4843357303251494</v>
      </c>
      <c r="L51" s="56"/>
      <c r="N51" s="127">
        <f t="shared" si="2"/>
        <v>2.8335087034600661E-2</v>
      </c>
      <c r="O51" s="127">
        <f t="shared" si="4"/>
        <v>1.6627147195592034E-2</v>
      </c>
      <c r="P51" s="127">
        <f t="shared" si="5"/>
        <v>1.3346334946414932E-2</v>
      </c>
      <c r="T51" s="32"/>
      <c r="U51" s="72"/>
    </row>
    <row r="52" spans="1:21" x14ac:dyDescent="0.35">
      <c r="L52" s="56"/>
      <c r="N52" s="62"/>
      <c r="O52" s="62"/>
      <c r="P52" s="62"/>
    </row>
    <row r="53" spans="1:21" x14ac:dyDescent="0.35">
      <c r="L53" s="56"/>
      <c r="N53" s="129">
        <f>AVERAGE(N8:N51)</f>
        <v>2.9822832186082823E-2</v>
      </c>
      <c r="O53" s="129">
        <f>AVERAGE(O8:O51)</f>
        <v>1.6086386772834572E-2</v>
      </c>
      <c r="P53" s="129">
        <f>AVERAGE(P8:P51)</f>
        <v>1.5746568219777688E-2</v>
      </c>
    </row>
    <row r="54" spans="1:21" x14ac:dyDescent="0.35">
      <c r="L54" s="56"/>
    </row>
    <row r="55" spans="1:21" x14ac:dyDescent="0.35">
      <c r="L55" s="56"/>
    </row>
    <row r="56" spans="1:21" x14ac:dyDescent="0.35">
      <c r="L56" s="56"/>
    </row>
    <row r="57" spans="1:21" x14ac:dyDescent="0.35">
      <c r="L57" s="56"/>
    </row>
    <row r="58" spans="1:21" x14ac:dyDescent="0.35">
      <c r="L58" s="56"/>
    </row>
    <row r="59" spans="1:21" x14ac:dyDescent="0.35">
      <c r="L59" s="56"/>
    </row>
    <row r="60" spans="1:21" x14ac:dyDescent="0.35">
      <c r="L60" s="56"/>
    </row>
    <row r="61" spans="1:21" x14ac:dyDescent="0.35">
      <c r="L61" s="56"/>
    </row>
    <row r="62" spans="1:21" x14ac:dyDescent="0.35">
      <c r="L62" s="56"/>
    </row>
    <row r="63" spans="1:21" x14ac:dyDescent="0.35">
      <c r="L63" s="56"/>
    </row>
    <row r="64" spans="1:21" x14ac:dyDescent="0.35">
      <c r="L64" s="56"/>
    </row>
    <row r="65" spans="10:12" x14ac:dyDescent="0.35">
      <c r="L65" s="56"/>
    </row>
    <row r="66" spans="10:12" x14ac:dyDescent="0.35">
      <c r="L66" s="56"/>
    </row>
    <row r="67" spans="10:12" x14ac:dyDescent="0.35">
      <c r="L67" s="56"/>
    </row>
    <row r="68" spans="10:12" x14ac:dyDescent="0.35">
      <c r="L68" s="56"/>
    </row>
    <row r="69" spans="10:12" x14ac:dyDescent="0.35">
      <c r="L69" s="56"/>
    </row>
    <row r="70" spans="10:12" x14ac:dyDescent="0.35">
      <c r="J70" s="32" t="s">
        <v>49</v>
      </c>
      <c r="L70" s="56"/>
    </row>
    <row r="71" spans="10:12" x14ac:dyDescent="0.35">
      <c r="L71" s="56"/>
    </row>
    <row r="72" spans="10:12" x14ac:dyDescent="0.35">
      <c r="L72" s="56"/>
    </row>
    <row r="73" spans="10:12" x14ac:dyDescent="0.35">
      <c r="L73" s="56"/>
    </row>
    <row r="74" spans="10:12" x14ac:dyDescent="0.35">
      <c r="L74" s="56"/>
    </row>
    <row r="75" spans="10:12" x14ac:dyDescent="0.35">
      <c r="L75" s="56"/>
    </row>
    <row r="76" spans="10:12" x14ac:dyDescent="0.35">
      <c r="L76" s="56"/>
    </row>
    <row r="77" spans="10:12" x14ac:dyDescent="0.35">
      <c r="L77" s="56"/>
    </row>
    <row r="78" spans="10:12" x14ac:dyDescent="0.35">
      <c r="L78" s="56"/>
    </row>
    <row r="79" spans="10:12" x14ac:dyDescent="0.35">
      <c r="L79" s="56"/>
    </row>
    <row r="80" spans="10:12" x14ac:dyDescent="0.35">
      <c r="L80" s="56"/>
    </row>
    <row r="81" spans="12:12" x14ac:dyDescent="0.35">
      <c r="L81" s="56"/>
    </row>
    <row r="82" spans="12:12" x14ac:dyDescent="0.35">
      <c r="L82" s="56"/>
    </row>
    <row r="83" spans="12:12" x14ac:dyDescent="0.35">
      <c r="L83" s="56"/>
    </row>
    <row r="84" spans="12:12" x14ac:dyDescent="0.35">
      <c r="L84" s="56"/>
    </row>
    <row r="85" spans="12:12" x14ac:dyDescent="0.35">
      <c r="L85" s="56"/>
    </row>
    <row r="86" spans="12:12" x14ac:dyDescent="0.35">
      <c r="L86" s="56"/>
    </row>
    <row r="87" spans="12:12" x14ac:dyDescent="0.35">
      <c r="L87" s="56"/>
    </row>
    <row r="88" spans="12:12" x14ac:dyDescent="0.35">
      <c r="L88" s="56"/>
    </row>
    <row r="89" spans="12:12" x14ac:dyDescent="0.35">
      <c r="L89" s="56"/>
    </row>
    <row r="90" spans="12:12" x14ac:dyDescent="0.35">
      <c r="L90" s="56"/>
    </row>
    <row r="91" spans="12:12" x14ac:dyDescent="0.35">
      <c r="L91" s="56"/>
    </row>
    <row r="92" spans="12:12" x14ac:dyDescent="0.35">
      <c r="L92" s="56"/>
    </row>
    <row r="93" spans="12:12" x14ac:dyDescent="0.35">
      <c r="L93" s="56"/>
    </row>
    <row r="94" spans="12:12" x14ac:dyDescent="0.35">
      <c r="L94" s="56"/>
    </row>
    <row r="95" spans="12:12" x14ac:dyDescent="0.35">
      <c r="L95" s="56"/>
    </row>
    <row r="96" spans="12:12" x14ac:dyDescent="0.35">
      <c r="L96" s="56"/>
    </row>
    <row r="97" spans="12:12" x14ac:dyDescent="0.35">
      <c r="L97" s="56"/>
    </row>
    <row r="98" spans="12:12" x14ac:dyDescent="0.35">
      <c r="L98" s="56"/>
    </row>
    <row r="99" spans="12:12" x14ac:dyDescent="0.35">
      <c r="L99" s="56"/>
    </row>
    <row r="100" spans="12:12" x14ac:dyDescent="0.35">
      <c r="L100" s="56"/>
    </row>
    <row r="101" spans="12:12" x14ac:dyDescent="0.35">
      <c r="L101" s="56"/>
    </row>
    <row r="102" spans="12:12" x14ac:dyDescent="0.35">
      <c r="L102" s="56"/>
    </row>
    <row r="103" spans="12:12" x14ac:dyDescent="0.35">
      <c r="L103" s="56"/>
    </row>
    <row r="104" spans="12:12" x14ac:dyDescent="0.35">
      <c r="L104" s="56"/>
    </row>
    <row r="105" spans="12:12" x14ac:dyDescent="0.35">
      <c r="L105" s="56"/>
    </row>
    <row r="106" spans="12:12" x14ac:dyDescent="0.35">
      <c r="L106" s="56"/>
    </row>
    <row r="107" spans="12:12" x14ac:dyDescent="0.35">
      <c r="L107" s="56"/>
    </row>
    <row r="108" spans="12:12" x14ac:dyDescent="0.35">
      <c r="L108" s="56"/>
    </row>
    <row r="109" spans="12:12" x14ac:dyDescent="0.35">
      <c r="L109" s="56"/>
    </row>
    <row r="110" spans="12:12" x14ac:dyDescent="0.35">
      <c r="L110" s="56"/>
    </row>
    <row r="111" spans="12:12" x14ac:dyDescent="0.35">
      <c r="L111" s="56"/>
    </row>
    <row r="112" spans="12:12" x14ac:dyDescent="0.35">
      <c r="L112" s="56"/>
    </row>
    <row r="113" spans="12:12" x14ac:dyDescent="0.35">
      <c r="L113" s="56"/>
    </row>
    <row r="114" spans="12:12" x14ac:dyDescent="0.35">
      <c r="L114" s="56"/>
    </row>
    <row r="115" spans="12:12" x14ac:dyDescent="0.35">
      <c r="L115" s="56"/>
    </row>
    <row r="116" spans="12:12" x14ac:dyDescent="0.35">
      <c r="L116" s="56"/>
    </row>
    <row r="117" spans="12:12" x14ac:dyDescent="0.35">
      <c r="L117" s="56"/>
    </row>
    <row r="118" spans="12:12" x14ac:dyDescent="0.35">
      <c r="L118" s="56"/>
    </row>
    <row r="119" spans="12:12" x14ac:dyDescent="0.35">
      <c r="L119" s="56"/>
    </row>
    <row r="120" spans="12:12" x14ac:dyDescent="0.35">
      <c r="L120" s="56"/>
    </row>
    <row r="121" spans="12:12" x14ac:dyDescent="0.35">
      <c r="L121" s="56"/>
    </row>
    <row r="122" spans="12:12" x14ac:dyDescent="0.35">
      <c r="L122" s="56"/>
    </row>
    <row r="123" spans="12:12" x14ac:dyDescent="0.35">
      <c r="L123" s="56"/>
    </row>
    <row r="124" spans="12:12" x14ac:dyDescent="0.35">
      <c r="L124" s="56"/>
    </row>
    <row r="125" spans="12:12" x14ac:dyDescent="0.35">
      <c r="L125" s="82"/>
    </row>
    <row r="126" spans="12:12" x14ac:dyDescent="0.35">
      <c r="L126" s="82"/>
    </row>
    <row r="127" spans="12:12" x14ac:dyDescent="0.35">
      <c r="L127" s="82"/>
    </row>
    <row r="128" spans="12:12" x14ac:dyDescent="0.35">
      <c r="L128" s="82"/>
    </row>
    <row r="129" spans="12:12" x14ac:dyDescent="0.35">
      <c r="L129" s="82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6310-9611-468B-B137-8A9F008908CF}">
  <dimension ref="A1:T355"/>
  <sheetViews>
    <sheetView zoomScaleNormal="100" workbookViewId="0">
      <pane ySplit="4" topLeftCell="A43" activePane="bottomLeft" state="frozen"/>
      <selection pane="bottomLeft" activeCell="B45" sqref="B45"/>
    </sheetView>
  </sheetViews>
  <sheetFormatPr defaultColWidth="9.1796875" defaultRowHeight="14.5" x14ac:dyDescent="0.35"/>
  <cols>
    <col min="1" max="1" width="15.7265625" style="1" customWidth="1"/>
    <col min="2" max="3" width="15.7265625" style="13" customWidth="1"/>
    <col min="4" max="4" width="15.7265625" style="4" customWidth="1"/>
    <col min="5" max="5" width="15.7265625" style="10" customWidth="1"/>
    <col min="6" max="6" width="15.7265625" style="13" customWidth="1"/>
    <col min="7" max="9" width="15.7265625" style="4" customWidth="1"/>
    <col min="10" max="10" width="1.453125" style="53" customWidth="1"/>
    <col min="11" max="11" width="12.453125" style="6" customWidth="1"/>
    <col min="12" max="12" width="13.453125" style="1" customWidth="1"/>
    <col min="13" max="13" width="12" style="1" bestFit="1" customWidth="1"/>
    <col min="14" max="14" width="10.54296875" style="5" customWidth="1"/>
    <col min="15" max="15" width="10.54296875" style="1" customWidth="1"/>
    <col min="16" max="16" width="9" style="1" customWidth="1"/>
    <col min="17" max="17" width="9.54296875" style="1" customWidth="1"/>
    <col min="18" max="16384" width="9.1796875" style="1"/>
  </cols>
  <sheetData>
    <row r="1" spans="1:17" ht="20.149999999999999" customHeight="1" x14ac:dyDescent="0.35">
      <c r="A1" s="160" t="s">
        <v>114</v>
      </c>
      <c r="B1" s="161"/>
      <c r="C1" s="161"/>
      <c r="D1" s="161"/>
      <c r="E1" s="161"/>
      <c r="F1" s="161"/>
      <c r="G1" s="161"/>
      <c r="H1" s="161"/>
      <c r="I1" s="52"/>
    </row>
    <row r="2" spans="1:17" ht="20.149999999999999" customHeight="1" x14ac:dyDescent="0.35">
      <c r="A2" s="160" t="s">
        <v>2</v>
      </c>
      <c r="B2" s="161"/>
      <c r="C2" s="161"/>
      <c r="D2" s="161"/>
      <c r="E2" s="161"/>
      <c r="F2" s="161"/>
      <c r="G2" s="161"/>
      <c r="H2" s="161"/>
      <c r="I2" s="52"/>
    </row>
    <row r="3" spans="1:17" s="7" customFormat="1" ht="48" customHeight="1" x14ac:dyDescent="0.35">
      <c r="A3" s="16" t="s">
        <v>9</v>
      </c>
      <c r="B3" s="24" t="s">
        <v>21</v>
      </c>
      <c r="C3" s="24" t="s">
        <v>13</v>
      </c>
      <c r="D3" s="17" t="s">
        <v>16</v>
      </c>
      <c r="E3" s="26" t="s">
        <v>66</v>
      </c>
      <c r="F3" s="27" t="s">
        <v>11</v>
      </c>
      <c r="G3" s="17" t="s">
        <v>113</v>
      </c>
      <c r="H3" s="17" t="s">
        <v>39</v>
      </c>
      <c r="I3" s="17" t="s">
        <v>143</v>
      </c>
      <c r="J3" s="54"/>
      <c r="K3" s="136"/>
      <c r="L3" s="31"/>
      <c r="M3" s="9"/>
      <c r="N3" s="3"/>
      <c r="O3" s="3"/>
      <c r="P3" s="31"/>
      <c r="Q3" s="31"/>
    </row>
    <row r="4" spans="1:17" ht="20.149999999999999" customHeight="1" x14ac:dyDescent="0.35">
      <c r="A4" s="21"/>
      <c r="B4" s="25" t="s">
        <v>22</v>
      </c>
      <c r="C4" s="25" t="s">
        <v>23</v>
      </c>
      <c r="D4" s="22" t="s">
        <v>41</v>
      </c>
      <c r="E4" s="15" t="s">
        <v>14</v>
      </c>
      <c r="F4" s="25" t="s">
        <v>46</v>
      </c>
      <c r="G4" s="22" t="s">
        <v>35</v>
      </c>
      <c r="H4" s="22" t="s">
        <v>24</v>
      </c>
      <c r="I4" s="22"/>
      <c r="L4" s="31"/>
      <c r="M4" s="31"/>
      <c r="O4" s="3"/>
      <c r="Q4" s="31"/>
    </row>
    <row r="5" spans="1:17" ht="20.149999999999999" customHeight="1" x14ac:dyDescent="0.35">
      <c r="A5" s="1">
        <v>1980</v>
      </c>
      <c r="B5" s="13">
        <f>PARAMETERS!B12</f>
        <v>375</v>
      </c>
      <c r="C5" s="13">
        <f>B5*PARAMETERS!$B$4</f>
        <v>28.125</v>
      </c>
      <c r="D5" s="4">
        <f>PARAMETERS!B6</f>
        <v>0.03</v>
      </c>
      <c r="E5" s="10">
        <f>PARAMETERS!$B$7*C5^PARAMETERS!$B$8</f>
        <v>5.3344771522391206</v>
      </c>
      <c r="F5" s="13">
        <f>PARAMETERS!B13</f>
        <v>283.517</v>
      </c>
      <c r="G5" s="4">
        <f>PARAMETERS!$B$9*F5</f>
        <v>0.62084014598540149</v>
      </c>
      <c r="H5" s="4">
        <f>MAX(PARAMETERS!$B$6,PARAMETERS!$B$6+PARAMETERS!$B$10*(G5-PARAMETERS!$B$11))</f>
        <v>0.03</v>
      </c>
      <c r="I5" s="4">
        <f>PARAMETERS!$B$4/BAU!H5</f>
        <v>2.5</v>
      </c>
      <c r="L5" s="10"/>
      <c r="N5" s="135"/>
    </row>
    <row r="6" spans="1:17" ht="20.149999999999999" customHeight="1" x14ac:dyDescent="0.35">
      <c r="A6" s="1">
        <f t="shared" ref="A6:A69" si="0">A5+1</f>
        <v>1981</v>
      </c>
      <c r="B6" s="13">
        <f>B5+PARAMETERS!$B$5*C5-H5*B5</f>
        <v>386.25</v>
      </c>
      <c r="C6" s="13">
        <f>B6*PARAMETERS!$B$4</f>
        <v>28.96875</v>
      </c>
      <c r="D6" s="4">
        <f>(C6-C5)/C5</f>
        <v>0.03</v>
      </c>
      <c r="E6" s="10">
        <f>PARAMETERS!$B$7*C6^PARAMETERS!$B$8</f>
        <v>5.4192399291888211</v>
      </c>
      <c r="F6" s="13">
        <f>F5+E5+PARAMETERS!$B$14</f>
        <v>290.35147715223911</v>
      </c>
      <c r="G6" s="4">
        <f>PARAMETERS!$B$9*F6</f>
        <v>0.63580615434796894</v>
      </c>
      <c r="H6" s="4">
        <f>MAX(PARAMETERS!$B$6,PARAMETERS!$B$6+PARAMETERS!$B$10*(G6-PARAMETERS!$B$11))</f>
        <v>0.03</v>
      </c>
      <c r="I6" s="4">
        <f>PARAMETERS!$B$4/BAU!H6</f>
        <v>2.5</v>
      </c>
      <c r="L6" s="10"/>
      <c r="N6" s="135"/>
    </row>
    <row r="7" spans="1:17" ht="20.149999999999999" customHeight="1" x14ac:dyDescent="0.35">
      <c r="A7" s="1">
        <f t="shared" si="0"/>
        <v>1982</v>
      </c>
      <c r="B7" s="13">
        <f>B6+PARAMETERS!$B$5*C6-H6*B6</f>
        <v>397.83750000000003</v>
      </c>
      <c r="C7" s="13">
        <f>B7*PARAMETERS!$B$4</f>
        <v>29.837812500000002</v>
      </c>
      <c r="D7" s="4">
        <f t="shared" ref="D7:D70" si="1">(C7-C6)/C6</f>
        <v>3.0000000000000065E-2</v>
      </c>
      <c r="E7" s="10">
        <f>PARAMETERS!$B$7*C7^PARAMETERS!$B$8</f>
        <v>5.5053495538522137</v>
      </c>
      <c r="F7" s="13">
        <f>F6+E6+PARAMETERS!$B$14</f>
        <v>297.27071708142796</v>
      </c>
      <c r="G7" s="4">
        <f>PARAMETERS!$B$9*F7</f>
        <v>0.65095777463086424</v>
      </c>
      <c r="H7" s="4">
        <f>MAX(PARAMETERS!$B$6,PARAMETERS!$B$6+PARAMETERS!$B$10*(G7-PARAMETERS!$B$11))</f>
        <v>0.03</v>
      </c>
      <c r="I7" s="4">
        <f>PARAMETERS!$B$4/BAU!H7</f>
        <v>2.5</v>
      </c>
      <c r="L7" s="10"/>
      <c r="N7" s="135"/>
    </row>
    <row r="8" spans="1:17" ht="20.149999999999999" customHeight="1" x14ac:dyDescent="0.35">
      <c r="A8" s="1">
        <f t="shared" si="0"/>
        <v>1983</v>
      </c>
      <c r="B8" s="13">
        <f>B7+PARAMETERS!$B$5*C7-H7*B7</f>
        <v>409.77262500000001</v>
      </c>
      <c r="C8" s="13">
        <f>B8*PARAMETERS!$B$4</f>
        <v>30.732946875</v>
      </c>
      <c r="D8" s="4">
        <f t="shared" si="1"/>
        <v>2.9999999999999926E-2</v>
      </c>
      <c r="E8" s="10">
        <f>PARAMETERS!$B$7*C8^PARAMETERS!$B$8</f>
        <v>5.592827427118098</v>
      </c>
      <c r="F8" s="13">
        <f>F7+E7+PARAMETERS!$B$14</f>
        <v>304.27606663528019</v>
      </c>
      <c r="G8" s="4">
        <f>PARAMETERS!$B$9*F8</f>
        <v>0.66629795613565013</v>
      </c>
      <c r="H8" s="4">
        <f>MAX(PARAMETERS!$B$6,PARAMETERS!$B$6+PARAMETERS!$B$10*(G8-PARAMETERS!$B$11))</f>
        <v>0.03</v>
      </c>
      <c r="I8" s="4">
        <f>PARAMETERS!$B$4/BAU!H8</f>
        <v>2.5</v>
      </c>
      <c r="L8" s="10"/>
      <c r="N8" s="135"/>
    </row>
    <row r="9" spans="1:17" ht="20.149999999999999" customHeight="1" x14ac:dyDescent="0.35">
      <c r="A9" s="1">
        <f t="shared" si="0"/>
        <v>1984</v>
      </c>
      <c r="B9" s="13">
        <f>B8+PARAMETERS!$B$5*C8-H8*B8</f>
        <v>422.06580375000004</v>
      </c>
      <c r="C9" s="13">
        <f>B9*PARAMETERS!$B$4</f>
        <v>31.654935281250001</v>
      </c>
      <c r="D9" s="4">
        <f t="shared" si="1"/>
        <v>3.0000000000000047E-2</v>
      </c>
      <c r="E9" s="10">
        <f>PARAMETERS!$B$7*C9^PARAMETERS!$B$8</f>
        <v>5.6816952899271085</v>
      </c>
      <c r="F9" s="13">
        <f>F8+E8+PARAMETERS!$B$14</f>
        <v>311.36889406239828</v>
      </c>
      <c r="G9" s="4">
        <f>PARAMETERS!$B$9*F9</f>
        <v>0.68182969502714963</v>
      </c>
      <c r="H9" s="4">
        <f>MAX(PARAMETERS!$B$6,PARAMETERS!$B$6+PARAMETERS!$B$10*(G9-PARAMETERS!$B$11))</f>
        <v>0.03</v>
      </c>
      <c r="I9" s="4">
        <f>PARAMETERS!$B$4/BAU!H9</f>
        <v>2.5</v>
      </c>
      <c r="L9" s="10"/>
      <c r="N9" s="135"/>
    </row>
    <row r="10" spans="1:17" ht="20.149999999999999" customHeight="1" x14ac:dyDescent="0.35">
      <c r="A10" s="1">
        <f t="shared" si="0"/>
        <v>1985</v>
      </c>
      <c r="B10" s="13">
        <f>B9+PARAMETERS!$B$5*C9-H9*B9</f>
        <v>434.72777786250003</v>
      </c>
      <c r="C10" s="13">
        <f>B10*PARAMETERS!$B$4</f>
        <v>32.604583339687501</v>
      </c>
      <c r="D10" s="4">
        <f t="shared" si="1"/>
        <v>0.03</v>
      </c>
      <c r="E10" s="10">
        <f>PARAMETERS!$B$7*C10^PARAMETERS!$B$8</f>
        <v>5.7719752286750179</v>
      </c>
      <c r="F10" s="13">
        <f>F9+E9+PARAMETERS!$B$14</f>
        <v>318.5505893523254</v>
      </c>
      <c r="G10" s="4">
        <f>PARAMETERS!$B$9*F10</f>
        <v>0.69755603507808484</v>
      </c>
      <c r="H10" s="4">
        <f>MAX(PARAMETERS!$B$6,PARAMETERS!$B$6+PARAMETERS!$B$10*(G10-PARAMETERS!$B$11))</f>
        <v>0.03</v>
      </c>
      <c r="I10" s="4">
        <f>PARAMETERS!$B$4/BAU!H10</f>
        <v>2.5</v>
      </c>
      <c r="L10" s="10"/>
      <c r="N10" s="135"/>
    </row>
    <row r="11" spans="1:17" ht="20.149999999999999" customHeight="1" x14ac:dyDescent="0.35">
      <c r="A11" s="1">
        <f t="shared" si="0"/>
        <v>1986</v>
      </c>
      <c r="B11" s="13">
        <f>B10+PARAMETERS!$B$5*C10-H10*B10</f>
        <v>447.769611198375</v>
      </c>
      <c r="C11" s="13">
        <f>B11*PARAMETERS!$B$4</f>
        <v>33.582720839878121</v>
      </c>
      <c r="D11" s="4">
        <f t="shared" si="1"/>
        <v>2.9999999999999839E-2</v>
      </c>
      <c r="E11" s="10">
        <f>PARAMETERS!$B$7*C11^PARAMETERS!$B$8</f>
        <v>5.8636896807018708</v>
      </c>
      <c r="F11" s="13">
        <f>F10+E10+PARAMETERS!$B$14</f>
        <v>325.82256458100039</v>
      </c>
      <c r="G11" s="4">
        <f>PARAMETERS!$B$9*F11</f>
        <v>0.71348006842554834</v>
      </c>
      <c r="H11" s="4">
        <f>MAX(PARAMETERS!$B$6,PARAMETERS!$B$6+PARAMETERS!$B$10*(G11-PARAMETERS!$B$11))</f>
        <v>0.03</v>
      </c>
      <c r="I11" s="4">
        <f>PARAMETERS!$B$4/BAU!H11</f>
        <v>2.5</v>
      </c>
      <c r="L11" s="10"/>
      <c r="N11" s="135"/>
    </row>
    <row r="12" spans="1:17" ht="20.149999999999999" customHeight="1" x14ac:dyDescent="0.35">
      <c r="A12" s="1">
        <f t="shared" si="0"/>
        <v>1987</v>
      </c>
      <c r="B12" s="13">
        <f>B11+PARAMETERS!$B$5*C11-H11*B11</f>
        <v>461.20269953432626</v>
      </c>
      <c r="C12" s="13">
        <f>B12*PARAMETERS!$B$4</f>
        <v>34.590202465074469</v>
      </c>
      <c r="D12" s="4">
        <f t="shared" si="1"/>
        <v>3.0000000000000141E-2</v>
      </c>
      <c r="E12" s="10">
        <f>PARAMETERS!$B$7*C12^PARAMETERS!$B$8</f>
        <v>5.9568614398683692</v>
      </c>
      <c r="F12" s="13">
        <f>F11+E11+PARAMETERS!$B$14</f>
        <v>333.18625426170229</v>
      </c>
      <c r="G12" s="4">
        <f>PARAMETERS!$B$9*F12</f>
        <v>0.72960493633949408</v>
      </c>
      <c r="H12" s="4">
        <f>MAX(PARAMETERS!$B$6,PARAMETERS!$B$6+PARAMETERS!$B$10*(G12-PARAMETERS!$B$11))</f>
        <v>0.03</v>
      </c>
      <c r="I12" s="4">
        <f>PARAMETERS!$B$4/BAU!H12</f>
        <v>2.5</v>
      </c>
      <c r="L12" s="10"/>
      <c r="N12" s="135"/>
    </row>
    <row r="13" spans="1:17" ht="20.149999999999999" customHeight="1" x14ac:dyDescent="0.35">
      <c r="A13" s="1">
        <f t="shared" si="0"/>
        <v>1988</v>
      </c>
      <c r="B13" s="13">
        <f>B12+PARAMETERS!$B$5*C12-H12*B12</f>
        <v>475.03878052035606</v>
      </c>
      <c r="C13" s="13">
        <f>B13*PARAMETERS!$B$4</f>
        <v>35.627908539026706</v>
      </c>
      <c r="D13" s="4">
        <f t="shared" si="1"/>
        <v>3.0000000000000065E-2</v>
      </c>
      <c r="E13" s="10">
        <f>PARAMETERS!$B$7*C13^PARAMETERS!$B$8</f>
        <v>6.0515136622208274</v>
      </c>
      <c r="F13" s="13">
        <f>F12+E12+PARAMETERS!$B$14</f>
        <v>340.64311570157065</v>
      </c>
      <c r="G13" s="4">
        <f>PARAMETERS!$B$9*F13</f>
        <v>0.74593383000343949</v>
      </c>
      <c r="H13" s="4">
        <f>MAX(PARAMETERS!$B$6,PARAMETERS!$B$6+PARAMETERS!$B$10*(G13-PARAMETERS!$B$11))</f>
        <v>0.03</v>
      </c>
      <c r="I13" s="4">
        <f>PARAMETERS!$B$4/BAU!H13</f>
        <v>2.5</v>
      </c>
      <c r="L13" s="10"/>
      <c r="N13" s="135"/>
    </row>
    <row r="14" spans="1:17" ht="20.149999999999999" customHeight="1" x14ac:dyDescent="0.35">
      <c r="A14" s="1">
        <f t="shared" si="0"/>
        <v>1989</v>
      </c>
      <c r="B14" s="13">
        <f>B13+PARAMETERS!$B$5*C13-H13*B13</f>
        <v>489.28994393596673</v>
      </c>
      <c r="C14" s="13">
        <f>B14*PARAMETERS!$B$4</f>
        <v>36.696745795197501</v>
      </c>
      <c r="D14" s="4">
        <f t="shared" si="1"/>
        <v>2.9999999999999829E-2</v>
      </c>
      <c r="E14" s="10">
        <f>PARAMETERS!$B$7*C14^PARAMETERS!$B$8</f>
        <v>6.1476698717461762</v>
      </c>
      <c r="F14" s="13">
        <f>F13+E13+PARAMETERS!$B$14</f>
        <v>348.19462936379148</v>
      </c>
      <c r="G14" s="4">
        <f>PARAMETERS!$B$9*F14</f>
        <v>0.76246999130757265</v>
      </c>
      <c r="H14" s="4">
        <f>MAX(PARAMETERS!$B$6,PARAMETERS!$B$6+PARAMETERS!$B$10*(G14-PARAMETERS!$B$11))</f>
        <v>0.03</v>
      </c>
      <c r="I14" s="4">
        <f>PARAMETERS!$B$4/BAU!H14</f>
        <v>2.5</v>
      </c>
      <c r="L14" s="10"/>
      <c r="N14" s="135"/>
    </row>
    <row r="15" spans="1:17" ht="20.149999999999999" customHeight="1" x14ac:dyDescent="0.35">
      <c r="A15" s="1">
        <f t="shared" si="0"/>
        <v>1990</v>
      </c>
      <c r="B15" s="13">
        <f>B14+PARAMETERS!$B$5*C14-H14*B14</f>
        <v>503.96864225404568</v>
      </c>
      <c r="C15" s="13">
        <f>B15*PARAMETERS!$B$4</f>
        <v>37.797648169053424</v>
      </c>
      <c r="D15" s="4">
        <f t="shared" si="1"/>
        <v>2.9999999999999961E-2</v>
      </c>
      <c r="E15" s="10">
        <f>PARAMETERS!$B$7*C15^PARAMETERS!$B$8</f>
        <v>6.2453539662183974</v>
      </c>
      <c r="F15" s="13">
        <f>F14+E14+PARAMETERS!$B$14</f>
        <v>355.84229923553767</v>
      </c>
      <c r="G15" s="4">
        <f>PARAMETERS!$B$9*F15</f>
        <v>0.7792167136544621</v>
      </c>
      <c r="H15" s="4">
        <f>MAX(PARAMETERS!$B$6,PARAMETERS!$B$6+PARAMETERS!$B$10*(G15-PARAMETERS!$B$11))</f>
        <v>0.03</v>
      </c>
      <c r="I15" s="4">
        <f>PARAMETERS!$B$4/BAU!H15</f>
        <v>2.5</v>
      </c>
      <c r="L15" s="10"/>
      <c r="N15" s="135"/>
    </row>
    <row r="16" spans="1:17" ht="20.149999999999999" customHeight="1" x14ac:dyDescent="0.35">
      <c r="A16" s="1">
        <f t="shared" si="0"/>
        <v>1991</v>
      </c>
      <c r="B16" s="13">
        <f>B15+PARAMETERS!$B$5*C15-H15*B15</f>
        <v>519.08770152166699</v>
      </c>
      <c r="C16" s="13">
        <f>B16*PARAMETERS!$B$4</f>
        <v>38.931577614125025</v>
      </c>
      <c r="D16" s="4">
        <f t="shared" si="1"/>
        <v>2.9999999999999957E-2</v>
      </c>
      <c r="E16" s="10">
        <f>PARAMETERS!$B$7*C16^PARAMETERS!$B$8</f>
        <v>6.3445902231378435</v>
      </c>
      <c r="F16" s="13">
        <f>F15+E15+PARAMETERS!$B$14</f>
        <v>363.58765320175604</v>
      </c>
      <c r="G16" s="4">
        <f>PARAMETERS!$B$9*F16</f>
        <v>0.79617734277756802</v>
      </c>
      <c r="H16" s="4">
        <f>MAX(PARAMETERS!$B$6,PARAMETERS!$B$6+PARAMETERS!$B$10*(G16-PARAMETERS!$B$11))</f>
        <v>0.03</v>
      </c>
      <c r="I16" s="4">
        <f>PARAMETERS!$B$4/BAU!H16</f>
        <v>2.5</v>
      </c>
      <c r="L16" s="10"/>
      <c r="N16" s="135"/>
    </row>
    <row r="17" spans="1:14" ht="20.149999999999999" customHeight="1" x14ac:dyDescent="0.35">
      <c r="A17" s="1">
        <f t="shared" si="0"/>
        <v>1992</v>
      </c>
      <c r="B17" s="13">
        <f>B16+PARAMETERS!$B$5*C16-H16*B16</f>
        <v>534.66033256731691</v>
      </c>
      <c r="C17" s="13">
        <f>B17*PARAMETERS!$B$4</f>
        <v>40.099524942548769</v>
      </c>
      <c r="D17" s="4">
        <f t="shared" si="1"/>
        <v>2.9999999999999805E-2</v>
      </c>
      <c r="E17" s="10">
        <f>PARAMETERS!$B$7*C17^PARAMETERS!$B$8</f>
        <v>6.4454033057649482</v>
      </c>
      <c r="F17" s="13">
        <f>F16+E16+PARAMETERS!$B$14</f>
        <v>371.4322434248939</v>
      </c>
      <c r="G17" s="4">
        <f>PARAMETERS!$B$9*F17</f>
        <v>0.81335527757276038</v>
      </c>
      <c r="H17" s="4">
        <f>MAX(PARAMETERS!$B$6,PARAMETERS!$B$6+PARAMETERS!$B$10*(G17-PARAMETERS!$B$11))</f>
        <v>0.03</v>
      </c>
      <c r="I17" s="4">
        <f>PARAMETERS!$B$4/BAU!H17</f>
        <v>2.5</v>
      </c>
      <c r="L17" s="10"/>
      <c r="N17" s="135"/>
    </row>
    <row r="18" spans="1:14" ht="20.149999999999999" customHeight="1" x14ac:dyDescent="0.35">
      <c r="A18" s="1">
        <f t="shared" si="0"/>
        <v>1993</v>
      </c>
      <c r="B18" s="13">
        <f>B17+PARAMETERS!$B$5*C17-H17*B17</f>
        <v>550.70014254433636</v>
      </c>
      <c r="C18" s="13">
        <f>B18*PARAMETERS!$B$4</f>
        <v>41.302510690825223</v>
      </c>
      <c r="D18" s="4">
        <f t="shared" si="1"/>
        <v>2.9999999999999777E-2</v>
      </c>
      <c r="E18" s="10">
        <f>PARAMETERS!$B$7*C18^PARAMETERS!$B$8</f>
        <v>6.5478182692498148</v>
      </c>
      <c r="F18" s="13">
        <f>F17+E17+PARAMETERS!$B$14</f>
        <v>379.37764673065885</v>
      </c>
      <c r="G18" s="4">
        <f>PARAMETERS!$B$9*F18</f>
        <v>0.8307539709430487</v>
      </c>
      <c r="H18" s="4">
        <f>MAX(PARAMETERS!$B$6,PARAMETERS!$B$6+PARAMETERS!$B$10*(G18-PARAMETERS!$B$11))</f>
        <v>0.03</v>
      </c>
      <c r="I18" s="4">
        <f>PARAMETERS!$B$4/BAU!H18</f>
        <v>2.5</v>
      </c>
      <c r="L18" s="10"/>
      <c r="N18" s="135"/>
    </row>
    <row r="19" spans="1:14" ht="20.149999999999999" customHeight="1" x14ac:dyDescent="0.35">
      <c r="A19" s="1">
        <f t="shared" si="0"/>
        <v>1994</v>
      </c>
      <c r="B19" s="13">
        <f>B18+PARAMETERS!$B$5*C18-H18*B18</f>
        <v>567.22114682066638</v>
      </c>
      <c r="C19" s="13">
        <f>B19*PARAMETERS!$B$4</f>
        <v>42.541586011549974</v>
      </c>
      <c r="D19" s="4">
        <f t="shared" si="1"/>
        <v>2.9999999999999871E-2</v>
      </c>
      <c r="E19" s="10">
        <f>PARAMETERS!$B$7*C19^PARAMETERS!$B$8</f>
        <v>6.6518605668591784</v>
      </c>
      <c r="F19" s="13">
        <f>F18+E18+PARAMETERS!$B$14</f>
        <v>387.42546499990868</v>
      </c>
      <c r="G19" s="4">
        <f>PARAMETERS!$B$9*F19</f>
        <v>0.84837693065673436</v>
      </c>
      <c r="H19" s="4">
        <f>MAX(PARAMETERS!$B$6,PARAMETERS!$B$6+PARAMETERS!$B$10*(G19-PARAMETERS!$B$11))</f>
        <v>0.03</v>
      </c>
      <c r="I19" s="4">
        <f>PARAMETERS!$B$4/BAU!H19</f>
        <v>2.5</v>
      </c>
      <c r="L19" s="10"/>
      <c r="N19" s="135"/>
    </row>
    <row r="20" spans="1:14" ht="20.149999999999999" customHeight="1" x14ac:dyDescent="0.35">
      <c r="A20" s="1">
        <f t="shared" si="0"/>
        <v>1995</v>
      </c>
      <c r="B20" s="13">
        <f>B19+PARAMETERS!$B$5*C19-H19*B19</f>
        <v>584.23778122528643</v>
      </c>
      <c r="C20" s="13">
        <f>B20*PARAMETERS!$B$4</f>
        <v>43.817833591896481</v>
      </c>
      <c r="D20" s="4">
        <f t="shared" si="1"/>
        <v>3.0000000000000172E-2</v>
      </c>
      <c r="E20" s="10">
        <f>PARAMETERS!$B$7*C20^PARAMETERS!$B$8</f>
        <v>6.7575560563023265</v>
      </c>
      <c r="F20" s="13">
        <f>F19+E19+PARAMETERS!$B$14</f>
        <v>395.57732556676785</v>
      </c>
      <c r="G20" s="4">
        <f>PARAMETERS!$B$9*F20</f>
        <v>0.8662277202191998</v>
      </c>
      <c r="H20" s="4">
        <f>MAX(PARAMETERS!$B$6,PARAMETERS!$B$6+PARAMETERS!$B$10*(G20-PARAMETERS!$B$11))</f>
        <v>0.03</v>
      </c>
      <c r="I20" s="4">
        <f>PARAMETERS!$B$4/BAU!H20</f>
        <v>2.5</v>
      </c>
      <c r="L20" s="10"/>
      <c r="N20" s="135"/>
    </row>
    <row r="21" spans="1:14" ht="20.149999999999999" customHeight="1" x14ac:dyDescent="0.35">
      <c r="A21" s="1">
        <f t="shared" si="0"/>
        <v>1996</v>
      </c>
      <c r="B21" s="13">
        <f>B20+PARAMETERS!$B$5*C20-H20*B20</f>
        <v>601.76491466204504</v>
      </c>
      <c r="C21" s="13">
        <f>B21*PARAMETERS!$B$4</f>
        <v>45.132368599653375</v>
      </c>
      <c r="D21" s="4">
        <f t="shared" si="1"/>
        <v>3.0000000000000013E-2</v>
      </c>
      <c r="E21" s="10">
        <f>PARAMETERS!$B$7*C21^PARAMETERS!$B$8</f>
        <v>6.8649310061575415</v>
      </c>
      <c r="F21" s="13">
        <f>F20+E20+PARAMETERS!$B$14</f>
        <v>403.8348816230702</v>
      </c>
      <c r="G21" s="4">
        <f>PARAMETERS!$B$9*F21</f>
        <v>0.88430995975854798</v>
      </c>
      <c r="H21" s="4">
        <f>MAX(PARAMETERS!$B$6,PARAMETERS!$B$6+PARAMETERS!$B$10*(G21-PARAMETERS!$B$11))</f>
        <v>0.03</v>
      </c>
      <c r="I21" s="4">
        <f>PARAMETERS!$B$4/BAU!H21</f>
        <v>2.5</v>
      </c>
      <c r="L21" s="10"/>
      <c r="N21" s="135"/>
    </row>
    <row r="22" spans="1:14" ht="20.149999999999999" customHeight="1" x14ac:dyDescent="0.35">
      <c r="A22" s="1">
        <f t="shared" si="0"/>
        <v>1997</v>
      </c>
      <c r="B22" s="13">
        <f>B21+PARAMETERS!$B$5*C21-H21*B21</f>
        <v>619.81786210190637</v>
      </c>
      <c r="C22" s="13">
        <f>B22*PARAMETERS!$B$4</f>
        <v>46.486339657642979</v>
      </c>
      <c r="D22" s="4">
        <f t="shared" si="1"/>
        <v>3.0000000000000058E-2</v>
      </c>
      <c r="E22" s="10">
        <f>PARAMETERS!$B$7*C22^PARAMETERS!$B$8</f>
        <v>6.9740121024006436</v>
      </c>
      <c r="F22" s="13">
        <f>F21+E21+PARAMETERS!$B$14</f>
        <v>412.19981262922772</v>
      </c>
      <c r="G22" s="4">
        <f>PARAMETERS!$B$9*F22</f>
        <v>0.90262732692531622</v>
      </c>
      <c r="H22" s="4">
        <f>MAX(PARAMETERS!$B$6,PARAMETERS!$B$6+PARAMETERS!$B$10*(G22-PARAMETERS!$B$11))</f>
        <v>0.03</v>
      </c>
      <c r="I22" s="4">
        <f>PARAMETERS!$B$4/BAU!H22</f>
        <v>2.5</v>
      </c>
      <c r="L22" s="10"/>
      <c r="N22" s="135"/>
    </row>
    <row r="23" spans="1:14" ht="20.149999999999999" customHeight="1" x14ac:dyDescent="0.35">
      <c r="A23" s="1">
        <f t="shared" si="0"/>
        <v>1998</v>
      </c>
      <c r="B23" s="13">
        <f>B22+PARAMETERS!$B$5*C22-H22*B22</f>
        <v>638.41239796496359</v>
      </c>
      <c r="C23" s="13">
        <f>B23*PARAMETERS!$B$4</f>
        <v>47.880929847372265</v>
      </c>
      <c r="D23" s="4">
        <f t="shared" si="1"/>
        <v>2.9999999999999919E-2</v>
      </c>
      <c r="E23" s="10">
        <f>PARAMETERS!$B$7*C23^PARAMETERS!$B$8</f>
        <v>7.0848264550372813</v>
      </c>
      <c r="F23" s="13">
        <f>F22+E22+PARAMETERS!$B$14</f>
        <v>420.67382473162837</v>
      </c>
      <c r="G23" s="4">
        <f>PARAMETERS!$B$9*F23</f>
        <v>0.92118355780648553</v>
      </c>
      <c r="H23" s="4">
        <f>MAX(PARAMETERS!$B$6,PARAMETERS!$B$6+PARAMETERS!$B$10*(G23-PARAMETERS!$B$11))</f>
        <v>0.03</v>
      </c>
      <c r="I23" s="4">
        <f>PARAMETERS!$B$4/BAU!H23</f>
        <v>2.5</v>
      </c>
      <c r="L23" s="10"/>
      <c r="N23" s="135"/>
    </row>
    <row r="24" spans="1:14" ht="20.149999999999999" customHeight="1" x14ac:dyDescent="0.35">
      <c r="A24" s="1">
        <f t="shared" si="0"/>
        <v>1999</v>
      </c>
      <c r="B24" s="13">
        <f>B23+PARAMETERS!$B$5*C23-H23*B23</f>
        <v>657.56476990391252</v>
      </c>
      <c r="C24" s="13">
        <f>B24*PARAMETERS!$B$4</f>
        <v>49.31735774279344</v>
      </c>
      <c r="D24" s="4">
        <f t="shared" si="1"/>
        <v>3.0000000000000158E-2</v>
      </c>
      <c r="E24" s="10">
        <f>PARAMETERS!$B$7*C24^PARAMETERS!$B$8</f>
        <v>7.1974016048405955</v>
      </c>
      <c r="F24" s="13">
        <f>F23+E23+PARAMETERS!$B$14</f>
        <v>429.25865118666565</v>
      </c>
      <c r="G24" s="4">
        <f>PARAMETERS!$B$9*F24</f>
        <v>0.93998244785401242</v>
      </c>
      <c r="H24" s="4">
        <f>MAX(PARAMETERS!$B$6,PARAMETERS!$B$6+PARAMETERS!$B$10*(G24-PARAMETERS!$B$11))</f>
        <v>0.03</v>
      </c>
      <c r="I24" s="4">
        <f>PARAMETERS!$B$4/BAU!H24</f>
        <v>2.5</v>
      </c>
      <c r="L24" s="10"/>
      <c r="N24" s="135"/>
    </row>
    <row r="25" spans="1:14" ht="20.149999999999999" customHeight="1" x14ac:dyDescent="0.35">
      <c r="A25" s="1">
        <f t="shared" si="0"/>
        <v>2000</v>
      </c>
      <c r="B25" s="13">
        <f>B24+PARAMETERS!$B$5*C24-H24*B24</f>
        <v>677.29171300102996</v>
      </c>
      <c r="C25" s="13">
        <f>B25*PARAMETERS!$B$4</f>
        <v>50.796878475077243</v>
      </c>
      <c r="D25" s="4">
        <f t="shared" si="1"/>
        <v>2.9999999999999985E-2</v>
      </c>
      <c r="E25" s="10">
        <f>PARAMETERS!$B$7*C25^PARAMETERS!$B$8</f>
        <v>7.3117655301959523</v>
      </c>
      <c r="F25" s="13">
        <f>F24+E24+PARAMETERS!$B$14</f>
        <v>437.95605279150624</v>
      </c>
      <c r="G25" s="4">
        <f>PARAMETERS!$B$9*F25</f>
        <v>0.95902785282811598</v>
      </c>
      <c r="H25" s="4">
        <f>MAX(PARAMETERS!$B$6,PARAMETERS!$B$6+PARAMETERS!$B$10*(G25-PARAMETERS!$B$11))</f>
        <v>0.03</v>
      </c>
      <c r="I25" s="4">
        <f>PARAMETERS!$B$4/BAU!H25</f>
        <v>2.5</v>
      </c>
      <c r="L25" s="10"/>
      <c r="N25" s="135"/>
    </row>
    <row r="26" spans="1:14" ht="20.149999999999999" customHeight="1" x14ac:dyDescent="0.35">
      <c r="A26" s="1">
        <f t="shared" si="0"/>
        <v>2001</v>
      </c>
      <c r="B26" s="13">
        <f>B25+PARAMETERS!$B$5*C25-H25*B25</f>
        <v>697.61046439106087</v>
      </c>
      <c r="C26" s="13">
        <f>B26*PARAMETERS!$B$4</f>
        <v>52.320784829329561</v>
      </c>
      <c r="D26" s="4">
        <f t="shared" si="1"/>
        <v>3.000000000000002E-2</v>
      </c>
      <c r="E26" s="10">
        <f>PARAMETERS!$B$7*C26^PARAMETERS!$B$8</f>
        <v>7.4279466540544323</v>
      </c>
      <c r="F26" s="13">
        <f>F25+E25+PARAMETERS!$B$14</f>
        <v>446.76781832170218</v>
      </c>
      <c r="G26" s="4">
        <f>PARAMETERS!$B$9*F26</f>
        <v>0.97832368975555228</v>
      </c>
      <c r="H26" s="4">
        <f>MAX(PARAMETERS!$B$6,PARAMETERS!$B$6+PARAMETERS!$B$10*(G26-PARAMETERS!$B$11))</f>
        <v>0.03</v>
      </c>
      <c r="I26" s="4">
        <f>PARAMETERS!$B$4/BAU!H26</f>
        <v>2.5</v>
      </c>
      <c r="L26" s="10"/>
      <c r="N26" s="135"/>
    </row>
    <row r="27" spans="1:14" ht="20.149999999999999" customHeight="1" x14ac:dyDescent="0.35">
      <c r="A27" s="1">
        <f t="shared" si="0"/>
        <v>2002</v>
      </c>
      <c r="B27" s="13">
        <f>B26+PARAMETERS!$B$5*C26-H26*B26</f>
        <v>718.53877832279272</v>
      </c>
      <c r="C27" s="13">
        <f>B27*PARAMETERS!$B$4</f>
        <v>53.89040837420945</v>
      </c>
      <c r="D27" s="4">
        <f t="shared" si="1"/>
        <v>3.0000000000000037E-2</v>
      </c>
      <c r="E27" s="10">
        <f>PARAMETERS!$B$7*C27^PARAMETERS!$B$8</f>
        <v>7.5459738509968037</v>
      </c>
      <c r="F27" s="13">
        <f>F26+E26+PARAMETERS!$B$14</f>
        <v>455.69576497575662</v>
      </c>
      <c r="G27" s="4">
        <f>PARAMETERS!$B$9*F27</f>
        <v>0.99787393790311674</v>
      </c>
      <c r="H27" s="4">
        <f>MAX(PARAMETERS!$B$6,PARAMETERS!$B$6+PARAMETERS!$B$10*(G27-PARAMETERS!$B$11))</f>
        <v>0.03</v>
      </c>
      <c r="I27" s="4">
        <f>PARAMETERS!$B$4/BAU!H27</f>
        <v>2.5</v>
      </c>
      <c r="L27" s="10"/>
      <c r="N27" s="135"/>
    </row>
    <row r="28" spans="1:14" ht="20.149999999999999" customHeight="1" x14ac:dyDescent="0.35">
      <c r="A28" s="1">
        <f t="shared" si="0"/>
        <v>2003</v>
      </c>
      <c r="B28" s="13">
        <f>B27+PARAMETERS!$B$5*C27-H27*B27</f>
        <v>740.09494167247658</v>
      </c>
      <c r="C28" s="13">
        <f>B28*PARAMETERS!$B$4</f>
        <v>55.507120625435739</v>
      </c>
      <c r="D28" s="4">
        <f t="shared" si="1"/>
        <v>3.0000000000000106E-2</v>
      </c>
      <c r="E28" s="10">
        <f>PARAMETERS!$B$7*C28^PARAMETERS!$B$8</f>
        <v>7.6658764544097453</v>
      </c>
      <c r="F28" s="13">
        <f>F27+E27+PARAMETERS!$B$14</f>
        <v>464.74173882675342</v>
      </c>
      <c r="G28" s="4">
        <f>PARAMETERS!$B$9*F28</f>
        <v>1.0176826397666134</v>
      </c>
      <c r="H28" s="4">
        <f>MAX(PARAMETERS!$B$6,PARAMETERS!$B$6+PARAMETERS!$B$10*(G28-PARAMETERS!$B$11))</f>
        <v>0.03</v>
      </c>
      <c r="I28" s="4">
        <f>PARAMETERS!$B$4/BAU!H28</f>
        <v>2.5</v>
      </c>
      <c r="L28" s="10"/>
      <c r="N28" s="135"/>
    </row>
    <row r="29" spans="1:14" ht="20.149999999999999" customHeight="1" x14ac:dyDescent="0.35">
      <c r="A29" s="1">
        <f t="shared" si="0"/>
        <v>2004</v>
      </c>
      <c r="B29" s="13">
        <f>B28+PARAMETERS!$B$5*C28-H28*B28</f>
        <v>762.29778992265085</v>
      </c>
      <c r="C29" s="13">
        <f>B29*PARAMETERS!$B$4</f>
        <v>57.172334244198815</v>
      </c>
      <c r="D29" s="4">
        <f t="shared" si="1"/>
        <v>3.0000000000000068E-2</v>
      </c>
      <c r="E29" s="10">
        <f>PARAMETERS!$B$7*C29^PARAMETERS!$B$8</f>
        <v>7.7876842637760992</v>
      </c>
      <c r="F29" s="13">
        <f>F28+E28+PARAMETERS!$B$14</f>
        <v>473.90761528116315</v>
      </c>
      <c r="G29" s="4">
        <f>PARAMETERS!$B$9*F29</f>
        <v>1.0377539020755397</v>
      </c>
      <c r="H29" s="4">
        <f>MAX(PARAMETERS!$B$6,PARAMETERS!$B$6+PARAMETERS!$B$10*(G29-PARAMETERS!$B$11))</f>
        <v>0.03</v>
      </c>
      <c r="I29" s="4">
        <f>PARAMETERS!$B$4/BAU!H29</f>
        <v>2.5</v>
      </c>
      <c r="L29" s="10"/>
      <c r="N29" s="135"/>
    </row>
    <row r="30" spans="1:14" ht="20.149999999999999" customHeight="1" x14ac:dyDescent="0.35">
      <c r="A30" s="1">
        <f t="shared" si="0"/>
        <v>2005</v>
      </c>
      <c r="B30" s="13">
        <f>B29+PARAMETERS!$B$5*C29-H29*B29</f>
        <v>785.16672362033046</v>
      </c>
      <c r="C30" s="13">
        <f>B30*PARAMETERS!$B$4</f>
        <v>58.887504271524783</v>
      </c>
      <c r="D30" s="4">
        <f t="shared" si="1"/>
        <v>3.0000000000000058E-2</v>
      </c>
      <c r="E30" s="10">
        <f>PARAMETERS!$B$7*C30^PARAMETERS!$B$8</f>
        <v>7.9114275520809532</v>
      </c>
      <c r="F30" s="13">
        <f>F29+E29+PARAMETERS!$B$14</f>
        <v>483.19529954493925</v>
      </c>
      <c r="G30" s="4">
        <f>PARAMETERS!$B$9*F30</f>
        <v>1.0580918968137356</v>
      </c>
      <c r="H30" s="4">
        <f>MAX(PARAMETERS!$B$6,PARAMETERS!$B$6+PARAMETERS!$B$10*(G30-PARAMETERS!$B$11))</f>
        <v>0.03</v>
      </c>
      <c r="I30" s="4">
        <f>PARAMETERS!$B$4/BAU!H30</f>
        <v>2.5</v>
      </c>
      <c r="L30" s="10"/>
      <c r="N30" s="135"/>
    </row>
    <row r="31" spans="1:14" ht="20.149999999999999" customHeight="1" x14ac:dyDescent="0.35">
      <c r="A31" s="1">
        <f t="shared" si="0"/>
        <v>2006</v>
      </c>
      <c r="B31" s="13">
        <f>B30+PARAMETERS!$B$5*C30-H30*B30</f>
        <v>808.72172532894035</v>
      </c>
      <c r="C31" s="13">
        <f>B31*PARAMETERS!$B$4</f>
        <v>60.654129399670524</v>
      </c>
      <c r="D31" s="4">
        <f t="shared" si="1"/>
        <v>2.999999999999995E-2</v>
      </c>
      <c r="E31" s="10">
        <f>PARAMETERS!$B$7*C31^PARAMETERS!$B$8</f>
        <v>8.037137073335396</v>
      </c>
      <c r="F31" s="13">
        <f>F30+E30+PARAMETERS!$B$14</f>
        <v>492.60672709702021</v>
      </c>
      <c r="G31" s="4">
        <f>PARAMETERS!$B$9*F31</f>
        <v>1.0787008622562488</v>
      </c>
      <c r="H31" s="4">
        <f>MAX(PARAMETERS!$B$6,PARAMETERS!$B$6+PARAMETERS!$B$10*(G31-PARAMETERS!$B$11))</f>
        <v>0.03</v>
      </c>
      <c r="I31" s="4">
        <f>PARAMETERS!$B$4/BAU!H31</f>
        <v>2.5</v>
      </c>
      <c r="L31" s="10"/>
      <c r="N31" s="135"/>
    </row>
    <row r="32" spans="1:14" ht="20.149999999999999" customHeight="1" x14ac:dyDescent="0.35">
      <c r="A32" s="1">
        <f t="shared" si="0"/>
        <v>2007</v>
      </c>
      <c r="B32" s="13">
        <f>B31+PARAMETERS!$B$5*C31-H31*B31</f>
        <v>832.98337708880854</v>
      </c>
      <c r="C32" s="13">
        <f>B32*PARAMETERS!$B$4</f>
        <v>62.473753281660635</v>
      </c>
      <c r="D32" s="4">
        <f t="shared" si="1"/>
        <v>2.9999999999999926E-2</v>
      </c>
      <c r="E32" s="10">
        <f>PARAMETERS!$B$7*C32^PARAMETERS!$B$8</f>
        <v>8.1648440702198766</v>
      </c>
      <c r="F32" s="13">
        <f>F31+E31+PARAMETERS!$B$14</f>
        <v>502.14386417035558</v>
      </c>
      <c r="G32" s="4">
        <f>PARAMETERS!$B$9*F32</f>
        <v>1.0995851040226765</v>
      </c>
      <c r="H32" s="4">
        <f>MAX(PARAMETERS!$B$6,PARAMETERS!$B$6+PARAMETERS!$B$10*(G32-PARAMETERS!$B$11))</f>
        <v>0.03</v>
      </c>
      <c r="I32" s="4">
        <f>PARAMETERS!$B$4/BAU!H32</f>
        <v>2.5</v>
      </c>
      <c r="L32" s="10"/>
      <c r="N32" s="135"/>
    </row>
    <row r="33" spans="1:14" ht="20.149999999999999" customHeight="1" x14ac:dyDescent="0.35">
      <c r="A33" s="1">
        <f t="shared" si="0"/>
        <v>2008</v>
      </c>
      <c r="B33" s="13">
        <f>B32+PARAMETERS!$B$5*C32-H32*B32</f>
        <v>857.97287840147271</v>
      </c>
      <c r="C33" s="13">
        <f>B33*PARAMETERS!$B$4</f>
        <v>64.347965880110451</v>
      </c>
      <c r="D33" s="4">
        <f t="shared" si="1"/>
        <v>2.999999999999995E-2</v>
      </c>
      <c r="E33" s="10">
        <f>PARAMETERS!$B$7*C33^PARAMETERS!$B$8</f>
        <v>8.2945802818489085</v>
      </c>
      <c r="F33" s="13">
        <f>F32+E32+PARAMETERS!$B$14</f>
        <v>511.80870824057547</v>
      </c>
      <c r="G33" s="4">
        <f>PARAMETERS!$B$9*F33</f>
        <v>1.1207489961472457</v>
      </c>
      <c r="H33" s="4">
        <f>MAX(PARAMETERS!$B$6,PARAMETERS!$B$6+PARAMETERS!$B$10*(G33-PARAMETERS!$B$11))</f>
        <v>0.03</v>
      </c>
      <c r="I33" s="4">
        <f>PARAMETERS!$B$4/BAU!H33</f>
        <v>2.5</v>
      </c>
      <c r="L33" s="10"/>
      <c r="N33" s="135"/>
    </row>
    <row r="34" spans="1:14" ht="20.149999999999999" customHeight="1" x14ac:dyDescent="0.35">
      <c r="A34" s="1">
        <f t="shared" si="0"/>
        <v>2009</v>
      </c>
      <c r="B34" s="13">
        <f>B33+PARAMETERS!$B$5*C33-H33*B33</f>
        <v>883.71206475351687</v>
      </c>
      <c r="C34" s="13">
        <f>B34*PARAMETERS!$B$4</f>
        <v>66.27840485651376</v>
      </c>
      <c r="D34" s="4">
        <f t="shared" si="1"/>
        <v>2.999999999999993E-2</v>
      </c>
      <c r="E34" s="10">
        <f>PARAMETERS!$B$7*C34^PARAMETERS!$B$8</f>
        <v>8.4263779516592745</v>
      </c>
      <c r="F34" s="13">
        <f>F33+E33+PARAMETERS!$B$14</f>
        <v>521.60328852242435</v>
      </c>
      <c r="G34" s="4">
        <f>PARAMETERS!$B$9*F34</f>
        <v>1.1421969821658928</v>
      </c>
      <c r="H34" s="4">
        <f>MAX(PARAMETERS!$B$6,PARAMETERS!$B$6+PARAMETERS!$B$10*(G34-PARAMETERS!$B$11))</f>
        <v>0.03</v>
      </c>
      <c r="I34" s="4">
        <f>PARAMETERS!$B$4/BAU!H34</f>
        <v>2.5</v>
      </c>
      <c r="L34" s="10"/>
      <c r="N34" s="135"/>
    </row>
    <row r="35" spans="1:14" ht="20.149999999999999" customHeight="1" x14ac:dyDescent="0.35">
      <c r="A35" s="1">
        <f t="shared" si="0"/>
        <v>2010</v>
      </c>
      <c r="B35" s="13">
        <f>B34+PARAMETERS!$B$5*C34-H34*B34</f>
        <v>910.22342669612237</v>
      </c>
      <c r="C35" s="13">
        <f>B35*PARAMETERS!$B$4</f>
        <v>68.266757002209175</v>
      </c>
      <c r="D35" s="4">
        <f t="shared" si="1"/>
        <v>3.0000000000000044E-2</v>
      </c>
      <c r="E35" s="10">
        <f>PARAMETERS!$B$7*C35^PARAMETERS!$B$8</f>
        <v>8.5602698354234796</v>
      </c>
      <c r="F35" s="13">
        <f>F34+E34+PARAMETERS!$B$14</f>
        <v>531.52966647408357</v>
      </c>
      <c r="G35" s="4">
        <f>PARAMETERS!$B$9*F35</f>
        <v>1.1639335762206211</v>
      </c>
      <c r="H35" s="4">
        <f>MAX(PARAMETERS!$B$6,PARAMETERS!$B$6+PARAMETERS!$B$10*(G35-PARAMETERS!$B$11))</f>
        <v>0.03</v>
      </c>
      <c r="I35" s="4">
        <f>PARAMETERS!$B$4/BAU!H35</f>
        <v>2.5</v>
      </c>
      <c r="L35" s="10"/>
      <c r="N35" s="135"/>
    </row>
    <row r="36" spans="1:14" ht="20.149999999999999" customHeight="1" x14ac:dyDescent="0.35">
      <c r="A36" s="1">
        <f t="shared" si="0"/>
        <v>2011</v>
      </c>
      <c r="B36" s="13">
        <f>B35+PARAMETERS!$B$5*C35-H35*B35</f>
        <v>937.5301294970061</v>
      </c>
      <c r="C36" s="13">
        <f>B36*PARAMETERS!$B$4</f>
        <v>70.31475971227546</v>
      </c>
      <c r="D36" s="4">
        <f t="shared" si="1"/>
        <v>3.0000000000000145E-2</v>
      </c>
      <c r="E36" s="10">
        <f>PARAMETERS!$B$7*C36^PARAMETERS!$B$8</f>
        <v>8.6962892093905584</v>
      </c>
      <c r="F36" s="13">
        <f>F35+E35+PARAMETERS!$B$14</f>
        <v>541.58993630950704</v>
      </c>
      <c r="G36" s="4">
        <f>PARAMETERS!$B$9*F36</f>
        <v>1.1859633641814025</v>
      </c>
      <c r="H36" s="4">
        <f>MAX(PARAMETERS!$B$6,PARAMETERS!$B$6+PARAMETERS!$B$10*(G36-PARAMETERS!$B$11))</f>
        <v>0.03</v>
      </c>
      <c r="I36" s="4">
        <f>PARAMETERS!$B$4/BAU!H36</f>
        <v>2.5</v>
      </c>
      <c r="L36" s="10"/>
      <c r="N36" s="135"/>
    </row>
    <row r="37" spans="1:14" ht="20.149999999999999" customHeight="1" x14ac:dyDescent="0.35">
      <c r="A37" s="1">
        <f t="shared" si="0"/>
        <v>2012</v>
      </c>
      <c r="B37" s="13">
        <f>B36+PARAMETERS!$B$5*C36-H36*B36</f>
        <v>965.65603338191636</v>
      </c>
      <c r="C37" s="13">
        <f>B37*PARAMETERS!$B$4</f>
        <v>72.424202503643727</v>
      </c>
      <c r="D37" s="4">
        <f t="shared" si="1"/>
        <v>3.0000000000000037E-2</v>
      </c>
      <c r="E37" s="10">
        <f>PARAMETERS!$B$7*C37^PARAMETERS!$B$8</f>
        <v>8.8344698785562858</v>
      </c>
      <c r="F37" s="13">
        <f>F36+E36+PARAMETERS!$B$14</f>
        <v>551.7862255188976</v>
      </c>
      <c r="G37" s="4">
        <f>PARAMETERS!$B$9*F37</f>
        <v>1.2082910047859072</v>
      </c>
      <c r="H37" s="4">
        <f>MAX(PARAMETERS!$B$6,PARAMETERS!$B$6+PARAMETERS!$B$10*(G37-PARAMETERS!$B$11))</f>
        <v>0.03</v>
      </c>
      <c r="I37" s="4">
        <f>PARAMETERS!$B$4/BAU!H37</f>
        <v>2.5</v>
      </c>
      <c r="L37" s="10"/>
      <c r="N37" s="135"/>
    </row>
    <row r="38" spans="1:14" ht="20.149999999999999" customHeight="1" x14ac:dyDescent="0.35">
      <c r="A38" s="1">
        <f t="shared" si="0"/>
        <v>2013</v>
      </c>
      <c r="B38" s="13">
        <f>B37+PARAMETERS!$B$5*C37-H37*B37</f>
        <v>994.62571438337386</v>
      </c>
      <c r="C38" s="13">
        <f>B38*PARAMETERS!$B$4</f>
        <v>74.596928578753037</v>
      </c>
      <c r="D38" s="4">
        <f t="shared" si="1"/>
        <v>2.9999999999999971E-2</v>
      </c>
      <c r="E38" s="10">
        <f>PARAMETERS!$B$7*C38^PARAMETERS!$B$8</f>
        <v>8.9748461850647168</v>
      </c>
      <c r="F38" s="13">
        <f>F37+E37+PARAMETERS!$B$14</f>
        <v>562.12069539745391</v>
      </c>
      <c r="G38" s="4">
        <f>PARAMETERS!$B$9*F38</f>
        <v>1.2309212307973445</v>
      </c>
      <c r="H38" s="4">
        <f>MAX(PARAMETERS!$B$6,PARAMETERS!$B$6+PARAMETERS!$B$10*(G38-PARAMETERS!$B$11))</f>
        <v>0.03</v>
      </c>
      <c r="I38" s="4">
        <f>PARAMETERS!$B$4/BAU!H38</f>
        <v>2.5</v>
      </c>
      <c r="L38" s="10"/>
      <c r="N38" s="135"/>
    </row>
    <row r="39" spans="1:14" ht="20.149999999999999" customHeight="1" x14ac:dyDescent="0.35">
      <c r="A39" s="1">
        <f t="shared" si="0"/>
        <v>2014</v>
      </c>
      <c r="B39" s="13">
        <f>B38+PARAMETERS!$B$5*C38-H38*B38</f>
        <v>1024.4644858148749</v>
      </c>
      <c r="C39" s="13">
        <f>B39*PARAMETERS!$B$4</f>
        <v>76.834836436115623</v>
      </c>
      <c r="D39" s="4">
        <f t="shared" si="1"/>
        <v>2.9999999999999933E-2</v>
      </c>
      <c r="E39" s="10">
        <f>PARAMETERS!$B$7*C39^PARAMETERS!$B$8</f>
        <v>9.1174530167432799</v>
      </c>
      <c r="F39" s="13">
        <f>F38+E38+PARAMETERS!$B$14</f>
        <v>572.59554158251865</v>
      </c>
      <c r="G39" s="4">
        <f>PARAMETERS!$B$9*F39</f>
        <v>1.253858850180698</v>
      </c>
      <c r="H39" s="4">
        <f>MAX(PARAMETERS!$B$6,PARAMETERS!$B$6+PARAMETERS!$B$10*(G39-PARAMETERS!$B$11))</f>
        <v>0.03</v>
      </c>
      <c r="I39" s="4">
        <f>PARAMETERS!$B$4/BAU!H39</f>
        <v>2.5</v>
      </c>
      <c r="L39" s="10"/>
      <c r="N39" s="135"/>
    </row>
    <row r="40" spans="1:14" ht="20.149999999999999" customHeight="1" x14ac:dyDescent="0.35">
      <c r="A40" s="1">
        <f t="shared" si="0"/>
        <v>2015</v>
      </c>
      <c r="B40" s="13">
        <f>B39+PARAMETERS!$B$5*C39-H39*B39</f>
        <v>1055.1984203893212</v>
      </c>
      <c r="C40" s="13">
        <f>B40*PARAMETERS!$B$4</f>
        <v>79.139881529199087</v>
      </c>
      <c r="D40" s="4">
        <f t="shared" si="1"/>
        <v>2.9999999999999943E-2</v>
      </c>
      <c r="E40" s="10">
        <f>PARAMETERS!$B$7*C40^PARAMETERS!$B$8</f>
        <v>9.2623258157734973</v>
      </c>
      <c r="F40" s="13">
        <f>F39+E39+PARAMETERS!$B$14</f>
        <v>583.21299459926195</v>
      </c>
      <c r="G40" s="4">
        <f>PARAMETERS!$B$9*F40</f>
        <v>1.2771087472976541</v>
      </c>
      <c r="H40" s="4">
        <f>MAX(PARAMETERS!$B$6,PARAMETERS!$B$6+PARAMETERS!$B$10*(G40-PARAMETERS!$B$11))</f>
        <v>0.03</v>
      </c>
      <c r="I40" s="4">
        <f>PARAMETERS!$B$4/BAU!H40</f>
        <v>2.5</v>
      </c>
      <c r="L40" s="10"/>
      <c r="N40" s="135"/>
    </row>
    <row r="41" spans="1:14" ht="20.149999999999999" customHeight="1" x14ac:dyDescent="0.35">
      <c r="A41" s="1">
        <f t="shared" si="0"/>
        <v>2016</v>
      </c>
      <c r="B41" s="13">
        <f>B40+PARAMETERS!$B$5*C40-H40*B40</f>
        <v>1086.8543730010008</v>
      </c>
      <c r="C41" s="13">
        <f>B41*PARAMETERS!$B$4</f>
        <v>81.514077975075054</v>
      </c>
      <c r="D41" s="4">
        <f t="shared" si="1"/>
        <v>2.9999999999999926E-2</v>
      </c>
      <c r="E41" s="10">
        <f>PARAMETERS!$B$7*C41^PARAMETERS!$B$8</f>
        <v>9.4095005874994033</v>
      </c>
      <c r="F41" s="13">
        <f>F40+E40+PARAMETERS!$B$14</f>
        <v>593.97532041503541</v>
      </c>
      <c r="G41" s="4">
        <f>PARAMETERS!$B$9*F41</f>
        <v>1.3006758841205157</v>
      </c>
      <c r="H41" s="4">
        <f>MAX(PARAMETERS!$B$6,PARAMETERS!$B$6+PARAMETERS!$B$10*(G41-PARAMETERS!$B$11))</f>
        <v>0.03</v>
      </c>
      <c r="I41" s="4">
        <f>PARAMETERS!$B$4/BAU!H41</f>
        <v>2.5</v>
      </c>
      <c r="L41" s="10"/>
      <c r="N41" s="135"/>
    </row>
    <row r="42" spans="1:14" ht="20.149999999999999" customHeight="1" x14ac:dyDescent="0.35">
      <c r="A42" s="1">
        <f t="shared" si="0"/>
        <v>2017</v>
      </c>
      <c r="B42" s="13">
        <f>B41+PARAMETERS!$B$5*C41-H41*B41</f>
        <v>1119.460004191031</v>
      </c>
      <c r="C42" s="13">
        <f>B42*PARAMETERS!$B$4</f>
        <v>83.959500314327315</v>
      </c>
      <c r="D42" s="4">
        <f t="shared" si="1"/>
        <v>3.000000000000011E-2</v>
      </c>
      <c r="E42" s="10">
        <f>PARAMETERS!$B$7*C42^PARAMETERS!$B$8</f>
        <v>9.5590139093760431</v>
      </c>
      <c r="F42" s="13">
        <f>F41+E41+PARAMETERS!$B$14</f>
        <v>604.88482100253486</v>
      </c>
      <c r="G42" s="4">
        <f>PARAMETERS!$B$9*F42</f>
        <v>1.3245653014654049</v>
      </c>
      <c r="H42" s="4">
        <f>MAX(PARAMETERS!$B$6,PARAMETERS!$B$6+PARAMETERS!$B$10*(G42-PARAMETERS!$B$11))</f>
        <v>0.03</v>
      </c>
      <c r="I42" s="4">
        <f>PARAMETERS!$B$4/BAU!H42</f>
        <v>2.5</v>
      </c>
      <c r="L42" s="10"/>
      <c r="N42" s="135"/>
    </row>
    <row r="43" spans="1:14" ht="20.149999999999999" customHeight="1" x14ac:dyDescent="0.35">
      <c r="A43" s="1">
        <f t="shared" si="0"/>
        <v>2018</v>
      </c>
      <c r="B43" s="13">
        <f>B42+PARAMETERS!$B$5*C42-H42*B42</f>
        <v>1153.0438043167619</v>
      </c>
      <c r="C43" s="13">
        <f>B43*PARAMETERS!$B$4</f>
        <v>86.478285323757135</v>
      </c>
      <c r="D43" s="4">
        <f t="shared" si="1"/>
        <v>3.0000000000000006E-2</v>
      </c>
      <c r="E43" s="10">
        <f>PARAMETERS!$B$7*C43^PARAMETERS!$B$8</f>
        <v>9.7109029400600466</v>
      </c>
      <c r="F43" s="13">
        <f>F42+E42+PARAMETERS!$B$14</f>
        <v>615.94383491191093</v>
      </c>
      <c r="G43" s="4">
        <f>PARAMETERS!$B$9*F43</f>
        <v>1.3487821202450605</v>
      </c>
      <c r="H43" s="4">
        <f>MAX(PARAMETERS!$B$6,PARAMETERS!$B$6+PARAMETERS!$B$10*(G43-PARAMETERS!$B$11))</f>
        <v>0.03</v>
      </c>
      <c r="I43" s="4">
        <f>PARAMETERS!$B$4/BAU!H43</f>
        <v>2.5</v>
      </c>
      <c r="L43" s="10"/>
      <c r="N43" s="135"/>
    </row>
    <row r="44" spans="1:14" ht="20.149999999999999" customHeight="1" x14ac:dyDescent="0.35">
      <c r="A44" s="1">
        <f t="shared" si="0"/>
        <v>2019</v>
      </c>
      <c r="B44" s="13">
        <f>B43+PARAMETERS!$B$5*C43-H43*B43</f>
        <v>1187.6351184462646</v>
      </c>
      <c r="C44" s="13">
        <f>B44*PARAMETERS!$B$4</f>
        <v>89.072633883469848</v>
      </c>
      <c r="D44" s="4">
        <f t="shared" si="1"/>
        <v>2.9999999999999995E-2</v>
      </c>
      <c r="E44" s="10">
        <f>PARAMETERS!$B$7*C44^PARAMETERS!$B$8</f>
        <v>9.8652054286447051</v>
      </c>
      <c r="F44" s="13">
        <f>F43+E43+PARAMETERS!$B$14</f>
        <v>627.15473785197094</v>
      </c>
      <c r="G44" s="4">
        <f>PARAMETERS!$B$9*F44</f>
        <v>1.3733315427415422</v>
      </c>
      <c r="H44" s="4">
        <f>MAX(PARAMETERS!$B$6,PARAMETERS!$B$6+PARAMETERS!$B$10*(G44-PARAMETERS!$B$11))</f>
        <v>0.03</v>
      </c>
      <c r="I44" s="4">
        <f>PARAMETERS!$B$4/BAU!H44</f>
        <v>2.5</v>
      </c>
      <c r="L44" s="10"/>
      <c r="N44" s="135"/>
    </row>
    <row r="45" spans="1:14" ht="20.149999999999999" customHeight="1" x14ac:dyDescent="0.35">
      <c r="A45" s="39">
        <f t="shared" si="0"/>
        <v>2020</v>
      </c>
      <c r="B45" s="137">
        <f>B44+PARAMETERS!$B$5*C44-H44*B44</f>
        <v>1223.2641719996527</v>
      </c>
      <c r="C45" s="137">
        <f>B45*PARAMETERS!$B$4</f>
        <v>91.744812899973951</v>
      </c>
      <c r="D45" s="38">
        <f t="shared" si="1"/>
        <v>3.0000000000000082E-2</v>
      </c>
      <c r="E45" s="35">
        <f>PARAMETERS!$B$7*C45^PARAMETERS!$B$8</f>
        <v>10.021959724041816</v>
      </c>
      <c r="F45" s="137">
        <f>F44+E44+PARAMETERS!$B$14</f>
        <v>638.51994328061562</v>
      </c>
      <c r="G45" s="38">
        <f>PARAMETERS!$B$9*F45</f>
        <v>1.3982188538991585</v>
      </c>
      <c r="H45" s="38">
        <f>MAX(PARAMETERS!$B$6,PARAMETERS!$B$6+PARAMETERS!$B$10*(G45-PARAMETERS!$B$11))</f>
        <v>0.03</v>
      </c>
      <c r="I45" s="38">
        <f>PARAMETERS!$B$4/BAU!H45</f>
        <v>2.5</v>
      </c>
      <c r="L45" s="10"/>
      <c r="N45" s="135"/>
    </row>
    <row r="46" spans="1:14" ht="20.149999999999999" customHeight="1" x14ac:dyDescent="0.35">
      <c r="A46" s="1">
        <f t="shared" si="0"/>
        <v>2021</v>
      </c>
      <c r="B46" s="13">
        <f>B45+PARAMETERS!$B$5*C45-H45*B45</f>
        <v>1259.9620971596423</v>
      </c>
      <c r="C46" s="13">
        <f>B46*PARAMETERS!$B$4</f>
        <v>94.497157286973177</v>
      </c>
      <c r="D46" s="4">
        <f t="shared" si="1"/>
        <v>3.0000000000000086E-2</v>
      </c>
      <c r="E46" s="10">
        <f>PARAMETERS!$B$7*C46^PARAMETERS!$B$8</f>
        <v>10.181204784512509</v>
      </c>
      <c r="F46" s="13">
        <f>F45+E45+PARAMETERS!$B$14</f>
        <v>650.04190300465746</v>
      </c>
      <c r="G46" s="4">
        <f>PARAMETERS!$B$9*F46</f>
        <v>1.4234494226379362</v>
      </c>
      <c r="H46" s="4">
        <f>MAX(PARAMETERS!$B$6,PARAMETERS!$B$6+PARAMETERS!$B$10*(G46-PARAMETERS!$B$11))</f>
        <v>0.03</v>
      </c>
      <c r="I46" s="4">
        <f>PARAMETERS!$B$4/BAU!H46</f>
        <v>2.5</v>
      </c>
      <c r="L46" s="10"/>
      <c r="N46" s="135"/>
    </row>
    <row r="47" spans="1:14" ht="20.149999999999999" customHeight="1" x14ac:dyDescent="0.35">
      <c r="A47" s="1">
        <f t="shared" si="0"/>
        <v>2022</v>
      </c>
      <c r="B47" s="13">
        <f>B46+PARAMETERS!$B$5*C46-H46*B46</f>
        <v>1297.7609600744318</v>
      </c>
      <c r="C47" s="13">
        <f>B47*PARAMETERS!$B$4</f>
        <v>97.332072005582376</v>
      </c>
      <c r="D47" s="4">
        <f t="shared" si="1"/>
        <v>3.000000000000003E-2</v>
      </c>
      <c r="E47" s="10">
        <f>PARAMETERS!$B$7*C47^PARAMETERS!$B$8</f>
        <v>10.342980187349626</v>
      </c>
      <c r="F47" s="13">
        <f>F46+E46+PARAMETERS!$B$14</f>
        <v>661.72310778916994</v>
      </c>
      <c r="G47" s="4">
        <f>PARAMETERS!$B$9*F47</f>
        <v>1.4490287031879634</v>
      </c>
      <c r="H47" s="4">
        <f>MAX(PARAMETERS!$B$6,PARAMETERS!$B$6+PARAMETERS!$B$10*(G47-PARAMETERS!$B$11))</f>
        <v>0.03</v>
      </c>
      <c r="I47" s="4">
        <f>PARAMETERS!$B$4/BAU!H47</f>
        <v>2.5</v>
      </c>
      <c r="L47" s="10"/>
      <c r="N47" s="135"/>
    </row>
    <row r="48" spans="1:14" ht="20.149999999999999" customHeight="1" x14ac:dyDescent="0.35">
      <c r="A48" s="1">
        <f t="shared" si="0"/>
        <v>2023</v>
      </c>
      <c r="B48" s="13">
        <f>B47+PARAMETERS!$B$5*C47-H47*B47</f>
        <v>1336.6937888766647</v>
      </c>
      <c r="C48" s="13">
        <f>B48*PARAMETERS!$B$4</f>
        <v>100.25203416574985</v>
      </c>
      <c r="D48" s="4">
        <f t="shared" si="1"/>
        <v>3.0000000000000009E-2</v>
      </c>
      <c r="E48" s="10">
        <f>PARAMETERS!$B$7*C48^PARAMETERS!$B$8</f>
        <v>10.507326138713861</v>
      </c>
      <c r="F48" s="13">
        <f>F47+E47+PARAMETERS!$B$14</f>
        <v>673.56608797651961</v>
      </c>
      <c r="G48" s="4">
        <f>PARAMETERS!$B$9*F48</f>
        <v>1.4749622364449335</v>
      </c>
      <c r="H48" s="4">
        <f>MAX(PARAMETERS!$B$6,PARAMETERS!$B$6+PARAMETERS!$B$10*(G48-PARAMETERS!$B$11))</f>
        <v>0.03</v>
      </c>
      <c r="I48" s="4">
        <f>PARAMETERS!$B$4/BAU!H48</f>
        <v>2.5</v>
      </c>
      <c r="L48" s="10"/>
      <c r="N48" s="135"/>
    </row>
    <row r="49" spans="1:17" ht="20.149999999999999" customHeight="1" x14ac:dyDescent="0.35">
      <c r="A49" s="1">
        <f t="shared" si="0"/>
        <v>2024</v>
      </c>
      <c r="B49" s="13">
        <f>B48+PARAMETERS!$B$5*C48-H48*B48</f>
        <v>1376.7946025429646</v>
      </c>
      <c r="C49" s="13">
        <f>B49*PARAMETERS!$B$4</f>
        <v>103.25959519072235</v>
      </c>
      <c r="D49" s="4">
        <f t="shared" si="1"/>
        <v>3.0000000000000075E-2</v>
      </c>
      <c r="E49" s="10">
        <f>PARAMETERS!$B$7*C49^PARAMETERS!$B$8</f>
        <v>10.674283483626231</v>
      </c>
      <c r="F49" s="13">
        <f>F48+E48+PARAMETERS!$B$14</f>
        <v>685.5734141152335</v>
      </c>
      <c r="G49" s="4">
        <f>PARAMETERS!$B$9*F49</f>
        <v>1.5012556513472268</v>
      </c>
      <c r="H49" s="4">
        <f>MAX(PARAMETERS!$B$6,PARAMETERS!$B$6+PARAMETERS!$B$10*(G49-PARAMETERS!$B$11))</f>
        <v>3.0018834770208402E-2</v>
      </c>
      <c r="I49" s="4">
        <f>PARAMETERS!$B$4/BAU!H49</f>
        <v>2.4984314206103782</v>
      </c>
      <c r="L49" s="10"/>
      <c r="N49" s="135"/>
      <c r="P49" s="6"/>
    </row>
    <row r="50" spans="1:17" ht="20.149999999999999" customHeight="1" x14ac:dyDescent="0.35">
      <c r="A50" s="1">
        <f t="shared" si="0"/>
        <v>2025</v>
      </c>
      <c r="B50" s="13">
        <f>B49+PARAMETERS!$B$5*C49-H49*B49</f>
        <v>1418.0725090092906</v>
      </c>
      <c r="C50" s="13">
        <f>B50*PARAMETERS!$B$4</f>
        <v>106.35543817569679</v>
      </c>
      <c r="D50" s="4">
        <f t="shared" si="1"/>
        <v>2.9981165229791582E-2</v>
      </c>
      <c r="E50" s="10">
        <f>PARAMETERS!$B$7*C50^PARAMETERS!$B$8</f>
        <v>10.843787959165169</v>
      </c>
      <c r="F50" s="13">
        <f>F49+E49+PARAMETERS!$B$14</f>
        <v>697.74769759885976</v>
      </c>
      <c r="G50" s="4">
        <f>PARAMETERS!$B$9*F50</f>
        <v>1.5279146662748755</v>
      </c>
      <c r="H50" s="4">
        <f>MAX(PARAMETERS!$B$6,PARAMETERS!$B$6+PARAMETERS!$B$10*(G50-PARAMETERS!$B$11))</f>
        <v>3.0418719994123131E-2</v>
      </c>
      <c r="I50" s="4">
        <f>PARAMETERS!$B$4/BAU!H50</f>
        <v>2.4655869811251074</v>
      </c>
      <c r="L50" s="10"/>
      <c r="N50" s="135"/>
      <c r="P50" s="6"/>
      <c r="Q50" s="6"/>
    </row>
    <row r="51" spans="1:17" ht="20.149999999999999" customHeight="1" x14ac:dyDescent="0.35">
      <c r="A51" s="1">
        <f t="shared" si="0"/>
        <v>2026</v>
      </c>
      <c r="B51" s="13">
        <f>B50+PARAMETERS!$B$5*C50-H50*B50</f>
        <v>1460.0209089669306</v>
      </c>
      <c r="C51" s="13">
        <f>B51*PARAMETERS!$B$4</f>
        <v>109.5015681725198</v>
      </c>
      <c r="D51" s="4">
        <f t="shared" si="1"/>
        <v>2.9581280005876807E-2</v>
      </c>
      <c r="E51" s="10">
        <f>PARAMETERS!$B$7*C51^PARAMETERS!$B$8</f>
        <v>11.013702894339307</v>
      </c>
      <c r="F51" s="13">
        <f>F50+E50+PARAMETERS!$B$14</f>
        <v>710.09148555802494</v>
      </c>
      <c r="G51" s="4">
        <f>PARAMETERS!$B$9*F51</f>
        <v>1.5549448588861861</v>
      </c>
      <c r="H51" s="4">
        <f>MAX(PARAMETERS!$B$6,PARAMETERS!$B$6+PARAMETERS!$B$10*(G51-PARAMETERS!$B$11))</f>
        <v>3.082417288329279E-2</v>
      </c>
      <c r="I51" s="4">
        <f>PARAMETERS!$B$4/BAU!H51</f>
        <v>2.4331553123571803</v>
      </c>
      <c r="L51" s="10"/>
      <c r="N51" s="135"/>
      <c r="P51" s="6"/>
      <c r="Q51" s="6"/>
    </row>
    <row r="52" spans="1:17" ht="20.149999999999999" customHeight="1" x14ac:dyDescent="0.35">
      <c r="A52" s="1">
        <f t="shared" si="0"/>
        <v>2027</v>
      </c>
      <c r="B52" s="13">
        <f>B51+PARAMETERS!$B$5*C51-H51*B51</f>
        <v>1502.6182265937275</v>
      </c>
      <c r="C52" s="13">
        <f>B52*PARAMETERS!$B$4</f>
        <v>112.69636699452955</v>
      </c>
      <c r="D52" s="4">
        <f t="shared" si="1"/>
        <v>2.9175827116707138E-2</v>
      </c>
      <c r="E52" s="10">
        <f>PARAMETERS!$B$7*C52^PARAMETERS!$B$8</f>
        <v>11.183930628385372</v>
      </c>
      <c r="F52" s="13">
        <f>F51+E51+PARAMETERS!$B$14</f>
        <v>722.60518845236425</v>
      </c>
      <c r="G52" s="4">
        <f>PARAMETERS!$B$9*F52</f>
        <v>1.582347127997878</v>
      </c>
      <c r="H52" s="4">
        <f>MAX(PARAMETERS!$B$6,PARAMETERS!$B$6+PARAMETERS!$B$10*(G52-PARAMETERS!$B$11))</f>
        <v>3.1235206919968169E-2</v>
      </c>
      <c r="I52" s="4">
        <f>PARAMETERS!$B$4/BAU!H52</f>
        <v>2.4011366466105812</v>
      </c>
      <c r="L52" s="10"/>
      <c r="N52" s="135"/>
      <c r="Q52" s="6"/>
    </row>
    <row r="53" spans="1:17" ht="20.149999999999999" customHeight="1" x14ac:dyDescent="0.35">
      <c r="A53" s="1">
        <f t="shared" si="0"/>
        <v>2028</v>
      </c>
      <c r="B53" s="13">
        <f>B52+PARAMETERS!$B$5*C52-H52*B52</f>
        <v>1545.8407289599804</v>
      </c>
      <c r="C53" s="13">
        <f>B53*PARAMETERS!$B$4</f>
        <v>115.93805467199853</v>
      </c>
      <c r="D53" s="4">
        <f t="shared" si="1"/>
        <v>2.8764793080031853E-2</v>
      </c>
      <c r="E53" s="10">
        <f>PARAMETERS!$B$7*C53^PARAMETERS!$B$8</f>
        <v>11.354370138931928</v>
      </c>
      <c r="F53" s="13">
        <f>F52+E52+PARAMETERS!$B$14</f>
        <v>735.28911908074963</v>
      </c>
      <c r="G53" s="4">
        <f>PARAMETERS!$B$9*F53</f>
        <v>1.6101221585709846</v>
      </c>
      <c r="H53" s="4">
        <f>MAX(PARAMETERS!$B$6,PARAMETERS!$B$6+PARAMETERS!$B$10*(G53-PARAMETERS!$B$11))</f>
        <v>3.1651832378564768E-2</v>
      </c>
      <c r="I53" s="4">
        <f>PARAMETERS!$B$4/BAU!H53</f>
        <v>2.3695310623087793</v>
      </c>
      <c r="L53" s="10"/>
      <c r="N53" s="135"/>
    </row>
    <row r="54" spans="1:17" ht="20.149999999999999" customHeight="1" x14ac:dyDescent="0.35">
      <c r="A54" s="1">
        <f t="shared" si="0"/>
        <v>2029</v>
      </c>
      <c r="B54" s="13">
        <f>B53+PARAMETERS!$B$5*C53-H53*B53</f>
        <v>1589.6624810605795</v>
      </c>
      <c r="C54" s="13">
        <f>B54*PARAMETERS!$B$4</f>
        <v>119.22468607954346</v>
      </c>
      <c r="D54" s="4">
        <f t="shared" si="1"/>
        <v>2.8348167621435185E-2</v>
      </c>
      <c r="E54" s="10">
        <f>PARAMETERS!$B$7*C54^PARAMETERS!$B$8</f>
        <v>11.524917082740172</v>
      </c>
      <c r="F54" s="13">
        <f>F53+E53+PARAMETERS!$B$14</f>
        <v>748.14348921968156</v>
      </c>
      <c r="G54" s="4">
        <f>PARAMETERS!$B$9*F54</f>
        <v>1.6382704143496678</v>
      </c>
      <c r="H54" s="4">
        <f>MAX(PARAMETERS!$B$6,PARAMETERS!$B$6+PARAMETERS!$B$10*(G54-PARAMETERS!$B$11))</f>
        <v>3.2074056215245013E-2</v>
      </c>
      <c r="I54" s="4">
        <f>PARAMETERS!$B$4/BAU!H54</f>
        <v>2.3383384844337836</v>
      </c>
      <c r="L54" s="10"/>
      <c r="N54" s="135"/>
    </row>
    <row r="55" spans="1:17" ht="20.149999999999999" customHeight="1" x14ac:dyDescent="0.35">
      <c r="A55" s="1">
        <f t="shared" si="0"/>
        <v>2030</v>
      </c>
      <c r="B55" s="13">
        <f>B54+PARAMETERS!$B$5*C54-H54*B54</f>
        <v>1634.0553061434114</v>
      </c>
      <c r="C55" s="13">
        <f>B55*PARAMETERS!$B$4</f>
        <v>122.55414796075584</v>
      </c>
      <c r="D55" s="4">
        <f t="shared" si="1"/>
        <v>2.7925943784754905E-2</v>
      </c>
      <c r="E55" s="10">
        <f>PARAMETERS!$B$7*C55^PARAMETERS!$B$8</f>
        <v>11.695463845772865</v>
      </c>
      <c r="F55" s="13">
        <f>F54+E54+PARAMETERS!$B$14</f>
        <v>761.16840630242177</v>
      </c>
      <c r="G55" s="4">
        <f>PARAMETERS!$B$9*F55</f>
        <v>1.6667921305892448</v>
      </c>
      <c r="H55" s="4">
        <f>MAX(PARAMETERS!$B$6,PARAMETERS!$B$6+PARAMETERS!$B$10*(G55-PARAMETERS!$B$11))</f>
        <v>3.2501881958838671E-2</v>
      </c>
      <c r="I55" s="4">
        <f>PARAMETERS!$B$4/BAU!H55</f>
        <v>2.3075586852165109</v>
      </c>
      <c r="L55" s="10"/>
      <c r="N55" s="135"/>
    </row>
    <row r="56" spans="1:17" ht="20.149999999999999" customHeight="1" x14ac:dyDescent="0.35">
      <c r="A56" s="1">
        <f t="shared" si="0"/>
        <v>2031</v>
      </c>
      <c r="B56" s="13">
        <f>B55+PARAMETERS!$B$5*C55-H55*B55</f>
        <v>1678.988751837529</v>
      </c>
      <c r="C56" s="13">
        <f>B56*PARAMETERS!$B$4</f>
        <v>125.92415638781466</v>
      </c>
      <c r="D56" s="4">
        <f t="shared" si="1"/>
        <v>2.7498118041161375E-2</v>
      </c>
      <c r="E56" s="10">
        <f>PARAMETERS!$B$7*C56^PARAMETERS!$B$8</f>
        <v>11.865899602894908</v>
      </c>
      <c r="F56" s="13">
        <f>F55+E55+PARAMETERS!$B$14</f>
        <v>774.36387014819468</v>
      </c>
      <c r="G56" s="4">
        <f>PARAMETERS!$B$9*F56</f>
        <v>1.6956873068938572</v>
      </c>
      <c r="H56" s="4">
        <f>MAX(PARAMETERS!$B$6,PARAMETERS!$B$6+PARAMETERS!$B$10*(G56-PARAMETERS!$B$11))</f>
        <v>3.2935309603407854E-2</v>
      </c>
      <c r="I56" s="4">
        <f>PARAMETERS!$B$4/BAU!H56</f>
        <v>2.277191285071134</v>
      </c>
      <c r="L56" s="10"/>
      <c r="N56" s="135"/>
    </row>
    <row r="57" spans="1:17" ht="20.149999999999999" customHeight="1" x14ac:dyDescent="0.35">
      <c r="A57" s="1">
        <f t="shared" si="0"/>
        <v>2032</v>
      </c>
      <c r="B57" s="13">
        <f>B56+PARAMETERS!$B$5*C56-H56*B56</f>
        <v>1724.4300625853723</v>
      </c>
      <c r="C57" s="13">
        <f>B57*PARAMETERS!$B$4</f>
        <v>129.33225469390291</v>
      </c>
      <c r="D57" s="4">
        <f t="shared" si="1"/>
        <v>2.7064690396592098E-2</v>
      </c>
      <c r="E57" s="10">
        <f>PARAMETERS!$B$7*C57^PARAMETERS!$B$8</f>
        <v>12.036110387487792</v>
      </c>
      <c r="F57" s="13">
        <f>F56+E56+PARAMETERS!$B$14</f>
        <v>787.72976975108963</v>
      </c>
      <c r="G57" s="4">
        <f>PARAMETERS!$B$9*F57</f>
        <v>1.7249557001848679</v>
      </c>
      <c r="H57" s="4">
        <f>MAX(PARAMETERS!$B$6,PARAMETERS!$B$6+PARAMETERS!$B$10*(G57-PARAMETERS!$B$11))</f>
        <v>3.3374335502773016E-2</v>
      </c>
      <c r="I57" s="4">
        <f>PARAMETERS!$B$4/BAU!H57</f>
        <v>2.2472357537655956</v>
      </c>
      <c r="L57" s="10"/>
      <c r="N57" s="135"/>
    </row>
    <row r="58" spans="1:17" ht="20.149999999999999" customHeight="1" x14ac:dyDescent="0.35">
      <c r="A58" s="1">
        <f t="shared" si="0"/>
        <v>2033</v>
      </c>
      <c r="B58" s="13">
        <f>B57+PARAMETERS!$B$5*C57-H57*B57</f>
        <v>1770.3441588807025</v>
      </c>
      <c r="C58" s="13">
        <f>B58*PARAMETERS!$B$4</f>
        <v>132.77581191605267</v>
      </c>
      <c r="D58" s="4">
        <f t="shared" si="1"/>
        <v>2.6625664497226944E-2</v>
      </c>
      <c r="E58" s="10">
        <f>PARAMETERS!$B$7*C58^PARAMETERS!$B$8</f>
        <v>12.205979171236422</v>
      </c>
      <c r="F58" s="13">
        <f>F57+E57+PARAMETERS!$B$14</f>
        <v>801.26588013857747</v>
      </c>
      <c r="G58" s="4">
        <f>PARAMETERS!$B$9*F58</f>
        <v>1.7545968178217026</v>
      </c>
      <c r="H58" s="4">
        <f>MAX(PARAMETERS!$B$6,PARAMETERS!$B$6+PARAMETERS!$B$10*(G58-PARAMETERS!$B$11))</f>
        <v>3.3818952267325536E-2</v>
      </c>
      <c r="I58" s="4">
        <f>PARAMETERS!$B$4/BAU!H58</f>
        <v>2.2176914118200486</v>
      </c>
      <c r="L58" s="10"/>
      <c r="N58" s="135"/>
      <c r="P58" s="6"/>
    </row>
    <row r="59" spans="1:17" ht="20.149999999999999" customHeight="1" x14ac:dyDescent="0.35">
      <c r="A59" s="1">
        <f t="shared" si="0"/>
        <v>2034</v>
      </c>
      <c r="B59" s="13">
        <f>B58+PARAMETERS!$B$5*C58-H58*B58</f>
        <v>1816.6936238076196</v>
      </c>
      <c r="C59" s="13">
        <f>B59*PARAMETERS!$B$4</f>
        <v>136.25202178557146</v>
      </c>
      <c r="D59" s="4">
        <f t="shared" si="1"/>
        <v>2.6181047732674472E-2</v>
      </c>
      <c r="E59" s="10">
        <f>PARAMETERS!$B$7*C59^PARAMETERS!$B$8</f>
        <v>12.375385954319841</v>
      </c>
      <c r="F59" s="13">
        <f>F58+E58+PARAMETERS!$B$14</f>
        <v>814.97185930981391</v>
      </c>
      <c r="G59" s="4">
        <f>PARAMETERS!$B$9*F59</f>
        <v>1.784609910897403</v>
      </c>
      <c r="H59" s="4">
        <f>MAX(PARAMETERS!$B$6,PARAMETERS!$B$6+PARAMETERS!$B$10*(G59-PARAMETERS!$B$11))</f>
        <v>3.4269148663461042E-2</v>
      </c>
      <c r="I59" s="4">
        <f>PARAMETERS!$B$4/BAU!H59</f>
        <v>2.1885574321245862</v>
      </c>
      <c r="L59" s="10"/>
      <c r="N59" s="135"/>
      <c r="Q59" s="6"/>
    </row>
    <row r="60" spans="1:17" ht="20.149999999999999" customHeight="1" x14ac:dyDescent="0.35">
      <c r="A60" s="1">
        <f t="shared" si="0"/>
        <v>2035</v>
      </c>
      <c r="B60" s="13">
        <f>B59+PARAMETERS!$B$5*C59-H59*B59</f>
        <v>1863.4386973658516</v>
      </c>
      <c r="C60" s="13">
        <f>B60*PARAMETERS!$B$4</f>
        <v>139.75790230243885</v>
      </c>
      <c r="D60" s="4">
        <f t="shared" si="1"/>
        <v>2.5730851336538858E-2</v>
      </c>
      <c r="E60" s="10">
        <f>PARAMETERS!$B$7*C60^PARAMETERS!$B$8</f>
        <v>12.544207866208277</v>
      </c>
      <c r="F60" s="13">
        <f>F59+E59+PARAMETERS!$B$14</f>
        <v>828.84724526413379</v>
      </c>
      <c r="G60" s="4">
        <f>PARAMETERS!$B$9*F60</f>
        <v>1.81499396773168</v>
      </c>
      <c r="H60" s="4">
        <f>MAX(PARAMETERS!$B$6,PARAMETERS!$B$6+PARAMETERS!$B$10*(G60-PARAMETERS!$B$11))</f>
        <v>3.4724909515975198E-2</v>
      </c>
      <c r="I60" s="4">
        <f>PARAMETERS!$B$4/BAU!H60</f>
        <v>2.159832841767269</v>
      </c>
      <c r="L60" s="10"/>
      <c r="N60" s="135"/>
    </row>
    <row r="61" spans="1:17" ht="20.149999999999999" customHeight="1" x14ac:dyDescent="0.35">
      <c r="A61" s="1">
        <f t="shared" si="0"/>
        <v>2036</v>
      </c>
      <c r="B61" s="13">
        <f>B60+PARAMETERS!$B$5*C60-H60*B60</f>
        <v>1910.5372790532067</v>
      </c>
      <c r="C61" s="13">
        <f>B61*PARAMETERS!$B$4</f>
        <v>143.2902959289905</v>
      </c>
      <c r="D61" s="4">
        <f t="shared" si="1"/>
        <v>2.527509048402489E-2</v>
      </c>
      <c r="E61" s="10">
        <f>PARAMETERS!$B$7*C61^PARAMETERS!$B$8</f>
        <v>12.712319277236462</v>
      </c>
      <c r="F61" s="13">
        <f>F60+E60+PARAMETERS!$B$14</f>
        <v>842.89145313034203</v>
      </c>
      <c r="G61" s="4">
        <f>PARAMETERS!$B$9*F61</f>
        <v>1.8457477075846906</v>
      </c>
      <c r="H61" s="4">
        <f>MAX(PARAMETERS!$B$6,PARAMETERS!$B$6+PARAMETERS!$B$10*(G61-PARAMETERS!$B$11))</f>
        <v>3.5186215613770361E-2</v>
      </c>
      <c r="I61" s="4">
        <f>PARAMETERS!$B$4/BAU!H61</f>
        <v>2.1315165240631404</v>
      </c>
      <c r="L61" s="10"/>
      <c r="N61" s="135"/>
    </row>
    <row r="62" spans="1:17" ht="20.149999999999999" customHeight="1" x14ac:dyDescent="0.35">
      <c r="A62" s="1">
        <f t="shared" si="0"/>
        <v>2037</v>
      </c>
      <c r="B62" s="13">
        <f>B61+PARAMETERS!$B$5*C61-H61*B61</f>
        <v>1957.9449391574867</v>
      </c>
      <c r="C62" s="13">
        <f>B62*PARAMETERS!$B$4</f>
        <v>146.84587043681151</v>
      </c>
      <c r="D62" s="4">
        <f t="shared" si="1"/>
        <v>2.4813784386229623E-2</v>
      </c>
      <c r="E62" s="10">
        <f>PARAMETERS!$B$7*C62^PARAMETERS!$B$8</f>
        <v>12.879591921088588</v>
      </c>
      <c r="F62" s="13">
        <f>F61+E61+PARAMETERS!$B$14</f>
        <v>857.1037724075785</v>
      </c>
      <c r="G62" s="4">
        <f>PARAMETERS!$B$9*F62</f>
        <v>1.8768695746151356</v>
      </c>
      <c r="H62" s="4">
        <f>MAX(PARAMETERS!$B$6,PARAMETERS!$B$6+PARAMETERS!$B$10*(G62-PARAMETERS!$B$11))</f>
        <v>3.5653043619227033E-2</v>
      </c>
      <c r="I62" s="4">
        <f>PARAMETERS!$B$4/BAU!H62</f>
        <v>2.1036072207746628</v>
      </c>
      <c r="L62" s="10"/>
      <c r="N62" s="135"/>
    </row>
    <row r="63" spans="1:17" ht="20.149999999999999" customHeight="1" x14ac:dyDescent="0.35">
      <c r="A63" s="1">
        <f t="shared" si="0"/>
        <v>2038</v>
      </c>
      <c r="B63" s="13">
        <f>B62+PARAMETERS!$B$5*C62-H62*B62</f>
        <v>2005.6149391871095</v>
      </c>
      <c r="C63" s="13">
        <f>B63*PARAMETERS!$B$4</f>
        <v>150.42112043903322</v>
      </c>
      <c r="D63" s="4">
        <f t="shared" si="1"/>
        <v>2.43469563807731E-2</v>
      </c>
      <c r="E63" s="10">
        <f>PARAMETERS!$B$7*C63^PARAMETERS!$B$8</f>
        <v>13.045895028292403</v>
      </c>
      <c r="F63" s="13">
        <f>F62+E62+PARAMETERS!$B$14</f>
        <v>871.48336432866711</v>
      </c>
      <c r="G63" s="4">
        <f>PARAMETERS!$B$9*F63</f>
        <v>1.9083577321065706</v>
      </c>
      <c r="H63" s="4">
        <f>MAX(PARAMETERS!$B$6,PARAMETERS!$B$6+PARAMETERS!$B$10*(G63-PARAMETERS!$B$11))</f>
        <v>3.6125365981598559E-2</v>
      </c>
      <c r="I63" s="4">
        <f>PARAMETERS!$B$4/BAU!H63</f>
        <v>2.0761035345137624</v>
      </c>
      <c r="L63" s="10"/>
      <c r="N63" s="135"/>
    </row>
    <row r="64" spans="1:17" ht="20.149999999999999" customHeight="1" x14ac:dyDescent="0.35">
      <c r="A64" s="1">
        <f t="shared" si="0"/>
        <v>2039</v>
      </c>
      <c r="B64" s="13">
        <f>B63+PARAMETERS!$B$5*C63-H63*B63</f>
        <v>2053.4982618420404</v>
      </c>
      <c r="C64" s="13">
        <f>B64*PARAMETERS!$B$4</f>
        <v>154.01236963815302</v>
      </c>
      <c r="D64" s="4">
        <f t="shared" si="1"/>
        <v>2.3874634018401428E-2</v>
      </c>
      <c r="E64" s="10">
        <f>PARAMETERS!$B$7*C64^PARAMETERS!$B$8</f>
        <v>13.211095470780018</v>
      </c>
      <c r="F64" s="13">
        <f>F63+E63+PARAMETERS!$B$14</f>
        <v>886.02925935695953</v>
      </c>
      <c r="G64" s="4">
        <f>PARAMETERS!$B$9*F64</f>
        <v>1.940210056986043</v>
      </c>
      <c r="H64" s="4">
        <f>MAX(PARAMETERS!$B$6,PARAMETERS!$B$6+PARAMETERS!$B$10*(G64-PARAMETERS!$B$11))</f>
        <v>3.6603150854790642E-2</v>
      </c>
      <c r="I64" s="4">
        <f>PARAMETERS!$B$4/BAU!H64</f>
        <v>2.0490039313154909</v>
      </c>
      <c r="L64" s="10"/>
      <c r="N64" s="135"/>
    </row>
    <row r="65" spans="1:20" ht="20.149999999999999" customHeight="1" x14ac:dyDescent="0.35">
      <c r="A65" s="1">
        <f t="shared" si="0"/>
        <v>2040</v>
      </c>
      <c r="B65" s="13">
        <f>B64+PARAMETERS!$B$5*C64-H64*B64</f>
        <v>2101.543650894308</v>
      </c>
      <c r="C65" s="13">
        <f>B65*PARAMETERS!$B$4</f>
        <v>157.61577381707309</v>
      </c>
      <c r="D65" s="4">
        <f t="shared" si="1"/>
        <v>2.3396849145209259E-2</v>
      </c>
      <c r="E65" s="10">
        <f>PARAMETERS!$B$7*C65^PARAMETERS!$B$8</f>
        <v>13.375057917529947</v>
      </c>
      <c r="F65" s="13">
        <f>F64+E64+PARAMETERS!$B$14</f>
        <v>900.74035482773957</v>
      </c>
      <c r="G65" s="4">
        <f>PARAMETERS!$B$9*F65</f>
        <v>1.9724241346592839</v>
      </c>
      <c r="H65" s="4">
        <f>MAX(PARAMETERS!$B$6,PARAMETERS!$B$6+PARAMETERS!$B$10*(G65-PARAMETERS!$B$11))</f>
        <v>3.7086362019889255E-2</v>
      </c>
      <c r="I65" s="4">
        <f>PARAMETERS!$B$4/BAU!H65</f>
        <v>2.0223067433731523</v>
      </c>
      <c r="L65" s="10"/>
      <c r="N65" s="135"/>
    </row>
    <row r="66" spans="1:20" ht="20.149999999999999" customHeight="1" x14ac:dyDescent="0.35">
      <c r="A66" s="1">
        <f t="shared" si="0"/>
        <v>2041</v>
      </c>
      <c r="B66" s="13">
        <f>B65+PARAMETERS!$B$5*C65-H65*B65</f>
        <v>2149.6976613103002</v>
      </c>
      <c r="C66" s="13">
        <f>B66*PARAMETERS!$B$4</f>
        <v>161.2273245982725</v>
      </c>
      <c r="D66" s="4">
        <f t="shared" si="1"/>
        <v>2.2913637980110625E-2</v>
      </c>
      <c r="E66" s="10">
        <f>PARAMETERS!$B$7*C66^PARAMETERS!$B$8</f>
        <v>13.53764500126009</v>
      </c>
      <c r="F66" s="13">
        <f>F65+E65+PARAMETERS!$B$14</f>
        <v>915.61541274526951</v>
      </c>
      <c r="G66" s="4">
        <f>PARAMETERS!$B$9*F66</f>
        <v>2.0049972541867218</v>
      </c>
      <c r="H66" s="4">
        <f>MAX(PARAMETERS!$B$6,PARAMETERS!$B$6+PARAMETERS!$B$10*(G66-PARAMETERS!$B$11))</f>
        <v>3.7574958812800825E-2</v>
      </c>
      <c r="I66" s="4">
        <f>PARAMETERS!$B$4/BAU!H66</f>
        <v>1.9960101719246441</v>
      </c>
      <c r="L66" s="10"/>
      <c r="N66" s="135"/>
    </row>
    <row r="67" spans="1:20" ht="20.149999999999999" customHeight="1" x14ac:dyDescent="0.35">
      <c r="A67" s="1">
        <f t="shared" si="0"/>
        <v>2042</v>
      </c>
      <c r="B67" s="13">
        <f>B66+PARAMETERS!$B$5*C66-H66*B66</f>
        <v>2197.9047199052093</v>
      </c>
      <c r="C67" s="13">
        <f>B67*PARAMETERS!$B$4</f>
        <v>164.8428539928907</v>
      </c>
      <c r="D67" s="4">
        <f t="shared" si="1"/>
        <v>2.2425041187199183E-2</v>
      </c>
      <c r="E67" s="10">
        <f>PARAMETERS!$B$7*C67^PARAMETERS!$B$8</f>
        <v>13.698717496093755</v>
      </c>
      <c r="F67" s="13">
        <f>F66+E66+PARAMETERS!$B$14</f>
        <v>930.65305774652961</v>
      </c>
      <c r="G67" s="4">
        <f>PARAMETERS!$B$9*F67</f>
        <v>2.0379264038245175</v>
      </c>
      <c r="H67" s="4">
        <f>MAX(PARAMETERS!$B$6,PARAMETERS!$B$6+PARAMETERS!$B$10*(G67-PARAMETERS!$B$11))</f>
        <v>3.8068896057367761E-2</v>
      </c>
      <c r="I67" s="4">
        <f>PARAMETERS!$B$4/BAU!H67</f>
        <v>1.970112290279683</v>
      </c>
      <c r="L67" s="10"/>
      <c r="N67" s="135"/>
    </row>
    <row r="68" spans="1:20" ht="20.149999999999999" customHeight="1" x14ac:dyDescent="0.35">
      <c r="A68" s="1">
        <f t="shared" si="0"/>
        <v>2043</v>
      </c>
      <c r="B68" s="13">
        <f>B67+PARAMETERS!$B$5*C67-H67*B67</f>
        <v>2246.1071967734524</v>
      </c>
      <c r="C68" s="13">
        <f>B68*PARAMETERS!$B$4</f>
        <v>168.45803975800894</v>
      </c>
      <c r="D68" s="4">
        <f t="shared" si="1"/>
        <v>2.1931103942632271E-2</v>
      </c>
      <c r="E68" s="10">
        <f>PARAMETERS!$B$7*C68^PARAMETERS!$B$8</f>
        <v>13.858134506071277</v>
      </c>
      <c r="F68" s="13">
        <f>F67+E67+PARAMETERS!$B$14</f>
        <v>945.85177524262338</v>
      </c>
      <c r="G68" s="4">
        <f>PARAMETERS!$B$9*F68</f>
        <v>2.0712082669546499</v>
      </c>
      <c r="H68" s="4">
        <f>MAX(PARAMETERS!$B$6,PARAMETERS!$B$6+PARAMETERS!$B$10*(G68-PARAMETERS!$B$11))</f>
        <v>3.8568124004319748E-2</v>
      </c>
      <c r="I68" s="4">
        <f>PARAMETERS!$B$4/BAU!H68</f>
        <v>1.9446110469775446</v>
      </c>
      <c r="L68" s="10"/>
      <c r="N68" s="135"/>
      <c r="R68" s="6"/>
    </row>
    <row r="69" spans="1:20" ht="20.149999999999999" customHeight="1" x14ac:dyDescent="0.35">
      <c r="A69" s="1">
        <f t="shared" si="0"/>
        <v>2044</v>
      </c>
      <c r="B69" s="13">
        <f>B68+PARAMETERS!$B$5*C68-H68*B68</f>
        <v>2294.2454876877059</v>
      </c>
      <c r="C69" s="13">
        <f>B69*PARAMETERS!$B$4</f>
        <v>172.06841157657794</v>
      </c>
      <c r="D69" s="4">
        <f t="shared" si="1"/>
        <v>2.1431875995680166E-2</v>
      </c>
      <c r="E69" s="10">
        <f>PARAMETERS!$B$7*C69^PARAMETERS!$B$8</f>
        <v>14.01575366432848</v>
      </c>
      <c r="F69" s="13">
        <f>F68+E68+PARAMETERS!$B$14</f>
        <v>961.2099097486946</v>
      </c>
      <c r="G69" s="4">
        <f>PARAMETERS!$B$9*F69</f>
        <v>2.1048392184277986</v>
      </c>
      <c r="H69" s="4">
        <f>MAX(PARAMETERS!$B$6,PARAMETERS!$B$6+PARAMETERS!$B$10*(G69-PARAMETERS!$B$11))</f>
        <v>3.9072588276416978E-2</v>
      </c>
      <c r="I69" s="4">
        <f>PARAMETERS!$B$4/BAU!H69</f>
        <v>1.9195042690649626</v>
      </c>
      <c r="L69" s="10"/>
      <c r="N69" s="135"/>
      <c r="R69" s="6"/>
    </row>
    <row r="70" spans="1:20" ht="20.149999999999999" customHeight="1" x14ac:dyDescent="0.35">
      <c r="A70" s="1">
        <f t="shared" ref="A70:A125" si="2">A69+1</f>
        <v>2045</v>
      </c>
      <c r="B70" s="13">
        <f>B69+PARAMETERS!$B$5*C69-H69*B69</f>
        <v>2342.258107603519</v>
      </c>
      <c r="C70" s="13">
        <f>B70*PARAMETERS!$B$4</f>
        <v>175.66935807026391</v>
      </c>
      <c r="D70" s="4">
        <f t="shared" si="1"/>
        <v>2.0927411723582912E-2</v>
      </c>
      <c r="E70" s="10">
        <f>PARAMETERS!$B$7*C70^PARAMETERS!$B$8</f>
        <v>14.171431342710044</v>
      </c>
      <c r="F70" s="13">
        <f>F69+E69+PARAMETERS!$B$14</f>
        <v>976.72566341302309</v>
      </c>
      <c r="G70" s="4">
        <f>PARAMETERS!$B$9*F70</f>
        <v>2.1388153213423866</v>
      </c>
      <c r="H70" s="4">
        <f>MAX(PARAMETERS!$B$6,PARAMETERS!$B$6+PARAMETERS!$B$10*(G70-PARAMETERS!$B$11))</f>
        <v>3.9582229820135796E-2</v>
      </c>
      <c r="I70" s="4">
        <f>PARAMETERS!$B$4/BAU!H70</f>
        <v>1.8947896654838505</v>
      </c>
      <c r="L70" s="10"/>
      <c r="N70" s="135"/>
      <c r="R70" s="6"/>
    </row>
    <row r="71" spans="1:20" ht="20.149999999999999" customHeight="1" x14ac:dyDescent="0.35">
      <c r="A71" s="1">
        <f t="shared" si="2"/>
        <v>2046</v>
      </c>
      <c r="B71" s="13">
        <f>B70+PARAMETERS!$B$5*C70-H70*B70</f>
        <v>2390.0817953464912</v>
      </c>
      <c r="C71" s="13">
        <f>B71*PARAMETERS!$B$4</f>
        <v>179.25613465098684</v>
      </c>
      <c r="D71" s="4">
        <f t="shared" ref="D71:D125" si="3">(C71-C70)/C70</f>
        <v>2.0417770179864229E-2</v>
      </c>
      <c r="E71" s="10">
        <f>PARAMETERS!$B$7*C71^PARAMETERS!$B$8</f>
        <v>14.325022871531145</v>
      </c>
      <c r="F71" s="13">
        <f>F70+E70+PARAMETERS!$B$14</f>
        <v>992.39709475573318</v>
      </c>
      <c r="G71" s="4">
        <f>PARAMETERS!$B$9*F71</f>
        <v>2.1731323242826277</v>
      </c>
      <c r="H71" s="4">
        <f>MAX(PARAMETERS!$B$6,PARAMETERS!$B$6+PARAMETERS!$B$10*(G71-PARAMETERS!$B$11))</f>
        <v>4.0096984864239418E-2</v>
      </c>
      <c r="I71" s="4">
        <f>PARAMETERS!$B$4/BAU!H71</f>
        <v>1.8704648305585916</v>
      </c>
      <c r="L71" s="10"/>
      <c r="N71" s="135"/>
      <c r="R71" s="6"/>
    </row>
    <row r="72" spans="1:20" ht="20.149999999999999" customHeight="1" x14ac:dyDescent="0.35">
      <c r="A72" s="1">
        <f t="shared" si="2"/>
        <v>2047</v>
      </c>
      <c r="B72" s="13">
        <f>B71+PARAMETERS!$B$5*C71-H71*B71</f>
        <v>2437.6516294949784</v>
      </c>
      <c r="C72" s="13">
        <f>B72*PARAMETERS!$B$4</f>
        <v>182.82387221212338</v>
      </c>
      <c r="D72" s="4">
        <f t="shared" si="3"/>
        <v>1.9903015135760645E-2</v>
      </c>
      <c r="E72" s="10">
        <f>PARAMETERS!$B$7*C72^PARAMETERS!$B$8</f>
        <v>14.476382769145303</v>
      </c>
      <c r="F72" s="13">
        <f>F71+E71+PARAMETERS!$B$14</f>
        <v>1008.2221176272643</v>
      </c>
      <c r="G72" s="4">
        <f>PARAMETERS!$B$9*F72</f>
        <v>2.2077856590378051</v>
      </c>
      <c r="H72" s="4">
        <f>MAX(PARAMETERS!$B$6,PARAMETERS!$B$6+PARAMETERS!$B$10*(G72-PARAMETERS!$B$11))</f>
        <v>4.0616784885567074E-2</v>
      </c>
      <c r="I72" s="4">
        <f>PARAMETERS!$B$4/BAU!H72</f>
        <v>1.8465272475727341</v>
      </c>
      <c r="L72" s="10"/>
      <c r="N72" s="135"/>
      <c r="R72" s="6"/>
    </row>
    <row r="73" spans="1:20" ht="20.149999999999999" customHeight="1" x14ac:dyDescent="0.35">
      <c r="A73" s="1">
        <f t="shared" si="2"/>
        <v>2048</v>
      </c>
      <c r="B73" s="13">
        <f>B72+PARAMETERS!$B$5*C72-H72*B72</f>
        <v>2484.9011554035274</v>
      </c>
      <c r="C73" s="13">
        <f>B73*PARAMETERS!$B$4</f>
        <v>186.36758665526455</v>
      </c>
      <c r="D73" s="4">
        <f t="shared" si="3"/>
        <v>1.9383215114432847E-2</v>
      </c>
      <c r="E73" s="10">
        <f>PARAMETERS!$B$7*C73^PARAMETERS!$B$8</f>
        <v>14.625364980919386</v>
      </c>
      <c r="F73" s="13">
        <f>F72+E72+PARAMETERS!$B$14</f>
        <v>1024.1985003964096</v>
      </c>
      <c r="G73" s="4">
        <f>PARAMETERS!$B$9*F73</f>
        <v>2.2427704388242549</v>
      </c>
      <c r="H73" s="4">
        <f>MAX(PARAMETERS!$B$6,PARAMETERS!$B$6+PARAMETERS!$B$10*(G73-PARAMETERS!$B$11))</f>
        <v>4.114155658236382E-2</v>
      </c>
      <c r="I73" s="4">
        <f>PARAMETERS!$B$4/BAU!H73</f>
        <v>1.8229742924250538</v>
      </c>
      <c r="L73" s="10"/>
      <c r="N73" s="135"/>
    </row>
    <row r="74" spans="1:20" ht="20.149999999999999" customHeight="1" x14ac:dyDescent="0.35">
      <c r="A74" s="1">
        <f t="shared" si="2"/>
        <v>2049</v>
      </c>
      <c r="B74" s="13">
        <f>B73+PARAMETERS!$B$5*C73-H73*B73</f>
        <v>2531.7625232411233</v>
      </c>
      <c r="C74" s="13">
        <f>B74*PARAMETERS!$B$4</f>
        <v>189.88218924308424</v>
      </c>
      <c r="D74" s="4">
        <f t="shared" si="3"/>
        <v>1.8858443417636078E-2</v>
      </c>
      <c r="E74" s="10">
        <f>PARAMETERS!$B$7*C74^PARAMETERS!$B$8</f>
        <v>14.771823127159982</v>
      </c>
      <c r="F74" s="13">
        <f>F73+E73+PARAMETERS!$B$14</f>
        <v>1040.323865377329</v>
      </c>
      <c r="G74" s="4">
        <f>PARAMETERS!$B$9*F74</f>
        <v>2.2780814570306473</v>
      </c>
      <c r="H74" s="4">
        <f>MAX(PARAMETERS!$B$6,PARAMETERS!$B$6+PARAMETERS!$B$10*(G74-PARAMETERS!$B$11))</f>
        <v>4.1671221855459711E-2</v>
      </c>
      <c r="I74" s="4">
        <f>PARAMETERS!$B$4/BAU!H74</f>
        <v>1.7998032373551243</v>
      </c>
      <c r="L74" s="10"/>
      <c r="N74" s="135"/>
      <c r="S74" s="6"/>
    </row>
    <row r="75" spans="1:20" s="6" customFormat="1" ht="20.149999999999999" customHeight="1" x14ac:dyDescent="0.35">
      <c r="A75" s="1">
        <f t="shared" si="2"/>
        <v>2050</v>
      </c>
      <c r="B75" s="13">
        <f>B74+PARAMETERS!$B$5*C74-H74*B74</f>
        <v>2578.1666368442711</v>
      </c>
      <c r="C75" s="13">
        <f>B75*PARAMETERS!$B$4</f>
        <v>193.36249776332033</v>
      </c>
      <c r="D75" s="4">
        <f t="shared" si="3"/>
        <v>1.8328778144540224E-2</v>
      </c>
      <c r="E75" s="10">
        <f>PARAMETERS!$B$7*C75^PARAMETERS!$B$8</f>
        <v>14.915610759477605</v>
      </c>
      <c r="F75" s="13">
        <f>F74+E74+PARAMETERS!$B$14</f>
        <v>1056.5956885044889</v>
      </c>
      <c r="G75" s="4">
        <f>PARAMETERS!$B$9*F75</f>
        <v>2.3137131865061802</v>
      </c>
      <c r="H75" s="4">
        <f>MAX(PARAMETERS!$B$6,PARAMETERS!$B$6+PARAMETERS!$B$10*(G75-PARAMETERS!$B$11))</f>
        <v>4.2205697797592701E-2</v>
      </c>
      <c r="I75" s="4">
        <f>PARAMETERS!$B$4/BAU!H75</f>
        <v>1.7770112547286872</v>
      </c>
      <c r="J75" s="53"/>
      <c r="L75" s="10"/>
      <c r="M75" s="1"/>
      <c r="N75" s="135"/>
      <c r="O75" s="1"/>
      <c r="P75" s="1"/>
      <c r="Q75" s="1"/>
      <c r="T75" s="1"/>
    </row>
    <row r="76" spans="1:20" s="6" customFormat="1" ht="20.149999999999999" customHeight="1" x14ac:dyDescent="0.35">
      <c r="A76" s="1">
        <f t="shared" si="2"/>
        <v>2051</v>
      </c>
      <c r="B76" s="13">
        <f>B75+PARAMETERS!$B$5*C75-H75*B75</f>
        <v>2624.0433131084419</v>
      </c>
      <c r="C76" s="13">
        <f>B76*PARAMETERS!$B$4</f>
        <v>196.80324848313313</v>
      </c>
      <c r="D76" s="4">
        <f t="shared" si="3"/>
        <v>1.7794302202407145E-2</v>
      </c>
      <c r="E76" s="10">
        <f>PARAMETERS!$B$7*C76^PARAMETERS!$B$8</f>
        <v>15.05658162501841</v>
      </c>
      <c r="F76" s="13">
        <f>F75+E75+PARAMETERS!$B$14</f>
        <v>1073.0112992639665</v>
      </c>
      <c r="G76" s="4">
        <f>PARAMETERS!$B$9*F76</f>
        <v>2.3496597794101457</v>
      </c>
      <c r="H76" s="4">
        <f>MAX(PARAMETERS!$B$6,PARAMETERS!$B$6+PARAMETERS!$B$10*(G76-PARAMETERS!$B$11))</f>
        <v>4.2744896691152182E-2</v>
      </c>
      <c r="I76" s="4">
        <f>PARAMETERS!$B$4/BAU!H76</f>
        <v>1.7545954208733492</v>
      </c>
      <c r="J76" s="53"/>
      <c r="L76" s="10"/>
      <c r="M76" s="1"/>
      <c r="N76" s="135"/>
      <c r="O76" s="1"/>
      <c r="P76" s="1"/>
      <c r="Q76" s="1"/>
      <c r="R76" s="1"/>
      <c r="T76" s="1"/>
    </row>
    <row r="77" spans="1:20" s="6" customFormat="1" ht="20.149999999999999" customHeight="1" x14ac:dyDescent="0.35">
      <c r="A77" s="1">
        <f t="shared" si="2"/>
        <v>2052</v>
      </c>
      <c r="B77" s="13">
        <f>B76+PARAMETERS!$B$5*C76-H76*B76</f>
        <v>2669.3214515630193</v>
      </c>
      <c r="C77" s="13">
        <f>B77*PARAMETERS!$B$4</f>
        <v>200.19910886722644</v>
      </c>
      <c r="D77" s="4">
        <f t="shared" si="3"/>
        <v>1.7255103308847823E-2</v>
      </c>
      <c r="E77" s="10">
        <f>PARAMETERS!$B$7*C77^PARAMETERS!$B$8</f>
        <v>15.194589937936232</v>
      </c>
      <c r="F77" s="13">
        <f>F76+E76+PARAMETERS!$B$14</f>
        <v>1089.567880888985</v>
      </c>
      <c r="G77" s="4">
        <f>PARAMETERS!$B$9*F77</f>
        <v>2.3859150676401133</v>
      </c>
      <c r="H77" s="4">
        <f>MAX(PARAMETERS!$B$6,PARAMETERS!$B$6+PARAMETERS!$B$10*(G77-PARAMETERS!$B$11))</f>
        <v>4.3288726014601694E-2</v>
      </c>
      <c r="I77" s="4">
        <f>PARAMETERS!$B$4/BAU!H77</f>
        <v>1.7325527199553481</v>
      </c>
      <c r="J77" s="53"/>
      <c r="L77" s="10"/>
      <c r="M77" s="1"/>
      <c r="N77" s="135"/>
      <c r="O77" s="1"/>
      <c r="P77" s="1"/>
      <c r="Q77" s="1"/>
      <c r="R77" s="1"/>
      <c r="S77" s="1"/>
      <c r="T77" s="1"/>
    </row>
    <row r="78" spans="1:20" ht="20.149999999999999" customHeight="1" x14ac:dyDescent="0.35">
      <c r="A78" s="1">
        <f t="shared" si="2"/>
        <v>2053</v>
      </c>
      <c r="B78" s="13">
        <f>B77+PARAMETERS!$B$5*C77-H77*B77</f>
        <v>2713.9292136951899</v>
      </c>
      <c r="C78" s="13">
        <f>B78*PARAMETERS!$B$4</f>
        <v>203.54469102713924</v>
      </c>
      <c r="D78" s="4">
        <f t="shared" si="3"/>
        <v>1.6711273985398255E-2</v>
      </c>
      <c r="E78" s="10">
        <f>PARAMETERS!$B$7*C78^PARAMETERS!$B$8</f>
        <v>15.32949065742231</v>
      </c>
      <c r="F78" s="13">
        <f>F77+E77+PARAMETERS!$B$14</f>
        <v>1106.2624708269211</v>
      </c>
      <c r="G78" s="4">
        <f>PARAMETERS!$B$9*F78</f>
        <v>2.4224725638545719</v>
      </c>
      <c r="H78" s="4">
        <f>MAX(PARAMETERS!$B$6,PARAMETERS!$B$6+PARAMETERS!$B$10*(G78-PARAMETERS!$B$11))</f>
        <v>4.3837088457818578E-2</v>
      </c>
      <c r="I78" s="4">
        <f>PARAMETERS!$B$4/BAU!H78</f>
        <v>1.7108800478883845</v>
      </c>
      <c r="L78" s="10"/>
      <c r="N78" s="135"/>
    </row>
    <row r="79" spans="1:20" ht="20.149999999999999" customHeight="1" x14ac:dyDescent="0.35">
      <c r="A79" s="1">
        <f t="shared" si="2"/>
        <v>2054</v>
      </c>
      <c r="B79" s="13">
        <f>B78+PARAMETERS!$B$5*C78-H78*B78</f>
        <v>2757.7942115078877</v>
      </c>
      <c r="C79" s="13">
        <f>B79*PARAMETERS!$B$4</f>
        <v>206.83456586309157</v>
      </c>
      <c r="D79" s="4">
        <f t="shared" si="3"/>
        <v>1.6162911542181579E-2</v>
      </c>
      <c r="E79" s="10">
        <f>PARAMETERS!$B$7*C79^PARAMETERS!$B$8</f>
        <v>15.461139771555654</v>
      </c>
      <c r="F79" s="13">
        <f>F78+E78+PARAMETERS!$B$14</f>
        <v>1123.0919614843435</v>
      </c>
      <c r="G79" s="4">
        <f>PARAMETERS!$B$9*F79</f>
        <v>2.4593254631044021</v>
      </c>
      <c r="H79" s="4">
        <f>MAX(PARAMETERS!$B$6,PARAMETERS!$B$6+PARAMETERS!$B$10*(G79-PARAMETERS!$B$11))</f>
        <v>4.4389881946566033E-2</v>
      </c>
      <c r="I79" s="4">
        <f>PARAMETERS!$B$4/BAU!H79</f>
        <v>1.6895742162657843</v>
      </c>
      <c r="L79" s="10"/>
      <c r="N79" s="135"/>
    </row>
    <row r="80" spans="1:20" ht="20.149999999999999" customHeight="1" x14ac:dyDescent="0.35">
      <c r="A80" s="1">
        <f t="shared" si="2"/>
        <v>2055</v>
      </c>
      <c r="B80" s="13">
        <f>B79+PARAMETERS!$B$5*C79-H79*B79</f>
        <v>2800.8437047166026</v>
      </c>
      <c r="C80" s="13">
        <f>B80*PARAMETERS!$B$4</f>
        <v>210.06327785374518</v>
      </c>
      <c r="D80" s="4">
        <f t="shared" si="3"/>
        <v>1.5610118053433895E-2</v>
      </c>
      <c r="E80" s="10">
        <f>PARAMETERS!$B$7*C80^PARAMETERS!$B$8</f>
        <v>15.589394586184723</v>
      </c>
      <c r="F80" s="13">
        <f>F79+E79+PARAMETERS!$B$14</f>
        <v>1140.0531012558993</v>
      </c>
      <c r="G80" s="4">
        <f>PARAMETERS!$B$9*F80</f>
        <v>2.4964666450859112</v>
      </c>
      <c r="H80" s="4">
        <f>MAX(PARAMETERS!$B$6,PARAMETERS!$B$6+PARAMETERS!$B$10*(G80-PARAMETERS!$B$11))</f>
        <v>4.4946999676288665E-2</v>
      </c>
      <c r="I80" s="4">
        <f>PARAMETERS!$B$4/BAU!H80</f>
        <v>1.6686319563075416</v>
      </c>
      <c r="L80" s="10"/>
      <c r="N80" s="135"/>
    </row>
    <row r="81" spans="1:17" ht="20.149999999999999" customHeight="1" x14ac:dyDescent="0.35">
      <c r="A81" s="1">
        <f t="shared" si="2"/>
        <v>2056</v>
      </c>
      <c r="B81" s="13">
        <f>B80+PARAMETERS!$B$5*C80-H80*B80</f>
        <v>2843.0048059103665</v>
      </c>
      <c r="C81" s="13">
        <f>B81*PARAMETERS!$B$4</f>
        <v>213.22536044327748</v>
      </c>
      <c r="D81" s="4">
        <f t="shared" si="3"/>
        <v>1.5053000323711398E-2</v>
      </c>
      <c r="E81" s="10">
        <f>PARAMETERS!$B$7*C81^PARAMETERS!$B$8</f>
        <v>15.714114018000808</v>
      </c>
      <c r="F81" s="13">
        <f>F80+E80+PARAMETERS!$B$14</f>
        <v>1157.1424958420839</v>
      </c>
      <c r="G81" s="4">
        <f>PARAMETERS!$B$9*F81</f>
        <v>2.5338886770264613</v>
      </c>
      <c r="H81" s="4">
        <f>MAX(PARAMETERS!$B$6,PARAMETERS!$B$6+PARAMETERS!$B$10*(G81-PARAMETERS!$B$11))</f>
        <v>4.5508330155396917E-2</v>
      </c>
      <c r="I81" s="4">
        <f>PARAMETERS!$B$4/BAU!H81</f>
        <v>1.6480499228140897</v>
      </c>
      <c r="L81" s="10"/>
      <c r="N81" s="135"/>
    </row>
    <row r="82" spans="1:17" ht="20.149999999999999" customHeight="1" x14ac:dyDescent="0.35">
      <c r="A82" s="1">
        <f t="shared" si="2"/>
        <v>2057</v>
      </c>
      <c r="B82" s="13">
        <f>B81+PARAMETERS!$B$5*C81-H81*B81</f>
        <v>2884.2046929242397</v>
      </c>
      <c r="C82" s="13">
        <f>B82*PARAMETERS!$B$4</f>
        <v>216.31535196931796</v>
      </c>
      <c r="D82" s="4">
        <f t="shared" si="3"/>
        <v>1.4491669844603134E-2</v>
      </c>
      <c r="E82" s="10">
        <f>PARAMETERS!$B$7*C82^PARAMETERS!$B$8</f>
        <v>15.835158890916109</v>
      </c>
      <c r="F82" s="13">
        <f>F81+E81+PARAMETERS!$B$14</f>
        <v>1174.3566098600847</v>
      </c>
      <c r="G82" s="4">
        <f>PARAMETERS!$B$9*F82</f>
        <v>2.5715838172118648</v>
      </c>
      <c r="H82" s="4">
        <f>MAX(PARAMETERS!$B$6,PARAMETERS!$B$6+PARAMETERS!$B$10*(G82-PARAMETERS!$B$11))</f>
        <v>4.6073757258177972E-2</v>
      </c>
      <c r="I82" s="4">
        <f>PARAMETERS!$B$4/BAU!H82</f>
        <v>1.6278246981189644</v>
      </c>
      <c r="L82" s="10"/>
      <c r="N82" s="135"/>
    </row>
    <row r="83" spans="1:17" ht="20.149999999999999" customHeight="1" x14ac:dyDescent="0.35">
      <c r="A83" s="1">
        <f t="shared" si="2"/>
        <v>2058</v>
      </c>
      <c r="B83" s="13">
        <f>B82+PARAMETERS!$B$5*C82-H82*B82</f>
        <v>2924.3708275950048</v>
      </c>
      <c r="C83" s="13">
        <f>B83*PARAMETERS!$B$4</f>
        <v>219.32781206962537</v>
      </c>
      <c r="D83" s="4">
        <f t="shared" si="3"/>
        <v>1.3926242741822102E-2</v>
      </c>
      <c r="E83" s="10">
        <f>PARAMETERS!$B$7*C83^PARAMETERS!$B$8</f>
        <v>15.952392234815012</v>
      </c>
      <c r="F83" s="13">
        <f>F82+E82+PARAMETERS!$B$14</f>
        <v>1191.6917687510008</v>
      </c>
      <c r="G83" s="4">
        <f>PARAMETERS!$B$9*F83</f>
        <v>2.6095440191627759</v>
      </c>
      <c r="H83" s="4">
        <f>MAX(PARAMETERS!$B$6,PARAMETERS!$B$6+PARAMETERS!$B$10*(G83-PARAMETERS!$B$11))</f>
        <v>4.6643160287441636E-2</v>
      </c>
      <c r="I83" s="4">
        <f>PARAMETERS!$B$4/BAU!H83</f>
        <v>1.6079527960328464</v>
      </c>
      <c r="L83" s="10"/>
      <c r="N83" s="135"/>
    </row>
    <row r="84" spans="1:17" ht="20.149999999999999" customHeight="1" x14ac:dyDescent="0.35">
      <c r="A84" s="1">
        <f t="shared" si="2"/>
        <v>2059</v>
      </c>
      <c r="B84" s="13">
        <f>B83+PARAMETERS!$B$5*C83-H83*B83</f>
        <v>2963.4311799992729</v>
      </c>
      <c r="C84" s="13">
        <f>B84*PARAMETERS!$B$4</f>
        <v>222.25733849994546</v>
      </c>
      <c r="D84" s="4">
        <f t="shared" si="3"/>
        <v>1.3356839712558298E-2</v>
      </c>
      <c r="E84" s="10">
        <f>PARAMETERS!$B$7*C84^PARAMETERS!$B$8</f>
        <v>16.065679585706302</v>
      </c>
      <c r="F84" s="13">
        <f>F83+E83+PARAMETERS!$B$14</f>
        <v>1209.1441609858159</v>
      </c>
      <c r="G84" s="4">
        <f>PARAMETERS!$B$9*F84</f>
        <v>2.6477609364652905</v>
      </c>
      <c r="H84" s="4">
        <f>MAX(PARAMETERS!$B$6,PARAMETERS!$B$6+PARAMETERS!$B$10*(G84-PARAMETERS!$B$11))</f>
        <v>4.7216414046979356E-2</v>
      </c>
      <c r="I84" s="4">
        <f>PARAMETERS!$B$4/BAU!H84</f>
        <v>1.5884306657717917</v>
      </c>
      <c r="L84" s="10"/>
      <c r="N84" s="135"/>
    </row>
    <row r="85" spans="1:17" ht="20.149999999999999" customHeight="1" x14ac:dyDescent="0.35">
      <c r="A85" s="1">
        <f t="shared" si="2"/>
        <v>2060</v>
      </c>
      <c r="B85" s="13">
        <f>B84+PARAMETERS!$B$5*C84-H84*B84</f>
        <v>3001.3144572046549</v>
      </c>
      <c r="C85" s="13">
        <f>B85*PARAMETERS!$B$4</f>
        <v>225.09858429034912</v>
      </c>
      <c r="D85" s="4">
        <f t="shared" si="3"/>
        <v>1.2783585953020662E-2</v>
      </c>
      <c r="E85" s="10">
        <f>PARAMETERS!$B$7*C85^PARAMETERS!$B$8</f>
        <v>16.17488928626733</v>
      </c>
      <c r="F85" s="13">
        <f>F84+E84+PARAMETERS!$B$14</f>
        <v>1226.7098405715221</v>
      </c>
      <c r="G85" s="4">
        <f>PARAMETERS!$B$9*F85</f>
        <v>2.6862259282588079</v>
      </c>
      <c r="H85" s="4">
        <f>MAX(PARAMETERS!$B$6,PARAMETERS!$B$6+PARAMETERS!$B$10*(G85-PARAMETERS!$B$11))</f>
        <v>4.7793388923882116E-2</v>
      </c>
      <c r="I85" s="4">
        <f>PARAMETERS!$B$4/BAU!H85</f>
        <v>1.569254695862818</v>
      </c>
      <c r="L85" s="10"/>
      <c r="N85" s="135"/>
    </row>
    <row r="86" spans="1:17" ht="20.149999999999999" customHeight="1" x14ac:dyDescent="0.35">
      <c r="A86" s="1">
        <f t="shared" si="2"/>
        <v>2061</v>
      </c>
      <c r="B86" s="13">
        <f>B85+PARAMETERS!$B$5*C85-H85*B85</f>
        <v>3037.9503355008819</v>
      </c>
      <c r="C86" s="13">
        <f>B86*PARAMETERS!$B$4</f>
        <v>227.84627516256614</v>
      </c>
      <c r="D86" s="4">
        <f t="shared" si="3"/>
        <v>1.220661107611784E-2</v>
      </c>
      <c r="E86" s="10">
        <f>PARAMETERS!$B$7*C86^PARAMETERS!$B$8</f>
        <v>16.279892785738404</v>
      </c>
      <c r="F86" s="13">
        <f>F85+E85+PARAMETERS!$B$14</f>
        <v>1244.3847298577894</v>
      </c>
      <c r="G86" s="4">
        <f>PARAMETERS!$B$9*F86</f>
        <v>2.7249300653820208</v>
      </c>
      <c r="H86" s="4">
        <f>MAX(PARAMETERS!$B$6,PARAMETERS!$B$6+PARAMETERS!$B$10*(G86-PARAMETERS!$B$11))</f>
        <v>4.8373950980730308E-2</v>
      </c>
      <c r="I86" s="4">
        <f>PARAMETERS!$B$4/BAU!H86</f>
        <v>1.5504212180203378</v>
      </c>
      <c r="L86" s="10"/>
      <c r="N86" s="135"/>
    </row>
    <row r="87" spans="1:17" ht="20.149999999999999" customHeight="1" x14ac:dyDescent="0.35">
      <c r="A87" s="1">
        <f t="shared" si="2"/>
        <v>2062</v>
      </c>
      <c r="B87" s="13">
        <f>B86+PARAMETERS!$B$5*C86-H86*B86</f>
        <v>3073.2696950195218</v>
      </c>
      <c r="C87" s="13">
        <f>B87*PARAMETERS!$B$4</f>
        <v>230.49522712646413</v>
      </c>
      <c r="D87" s="4">
        <f t="shared" si="3"/>
        <v>1.162604901926961E-2</v>
      </c>
      <c r="E87" s="10">
        <f>PARAMETERS!$B$7*C87^PARAMETERS!$B$8</f>
        <v>16.380564938098392</v>
      </c>
      <c r="F87" s="13">
        <f>F86+E86+PARAMETERS!$B$14</f>
        <v>1262.1646226435278</v>
      </c>
      <c r="G87" s="4">
        <f>PARAMETERS!$B$9*F87</f>
        <v>2.7638641371756085</v>
      </c>
      <c r="H87" s="4">
        <f>MAX(PARAMETERS!$B$6,PARAMETERS!$B$6+PARAMETERS!$B$10*(G87-PARAMETERS!$B$11))</f>
        <v>4.8957962057634127E-2</v>
      </c>
      <c r="I87" s="4">
        <f>PARAMETERS!$B$4/BAU!H87</f>
        <v>1.5319265109872986</v>
      </c>
      <c r="L87" s="10"/>
      <c r="N87" s="135"/>
    </row>
    <row r="88" spans="1:17" ht="20.149999999999999" customHeight="1" x14ac:dyDescent="0.35">
      <c r="A88" s="1">
        <f t="shared" si="2"/>
        <v>2063</v>
      </c>
      <c r="B88" s="13">
        <f>B87+PARAMETERS!$B$5*C87-H87*B87</f>
        <v>3107.2048555990505</v>
      </c>
      <c r="C88" s="13">
        <f>B88*PARAMETERS!$B$4</f>
        <v>233.04036416992878</v>
      </c>
      <c r="D88" s="4">
        <f t="shared" si="3"/>
        <v>1.1042037942365841E-2</v>
      </c>
      <c r="E88" s="10">
        <f>PARAMETERS!$B$7*C88^PARAMETERS!$B$8</f>
        <v>16.476784297429628</v>
      </c>
      <c r="F88" s="13">
        <f>F87+E87+PARAMETERS!$B$14</f>
        <v>1280.0451875816261</v>
      </c>
      <c r="G88" s="4">
        <f>PARAMETERS!$B$9*F88</f>
        <v>2.8030186589378676</v>
      </c>
      <c r="H88" s="4">
        <f>MAX(PARAMETERS!$B$6,PARAMETERS!$B$6+PARAMETERS!$B$10*(G88-PARAMETERS!$B$11))</f>
        <v>4.9545279884068011E-2</v>
      </c>
      <c r="I88" s="4">
        <f>PARAMETERS!$B$4/BAU!H88</f>
        <v>1.5137668043352261</v>
      </c>
      <c r="L88" s="10"/>
      <c r="N88" s="135"/>
    </row>
    <row r="89" spans="1:17" ht="20.149999999999999" customHeight="1" x14ac:dyDescent="0.35">
      <c r="A89" s="1">
        <f t="shared" si="2"/>
        <v>2064</v>
      </c>
      <c r="B89" s="13">
        <f>B88+PARAMETERS!$B$5*C88-H88*B88</f>
        <v>3139.6898127072031</v>
      </c>
      <c r="C89" s="13">
        <f>B89*PARAMETERS!$B$4</f>
        <v>235.47673595304022</v>
      </c>
      <c r="D89" s="4">
        <f t="shared" si="3"/>
        <v>1.0454720115931857E-2</v>
      </c>
      <c r="E89" s="10">
        <f>PARAMETERS!$B$7*C89^PARAMETERS!$B$8</f>
        <v>16.568433409363386</v>
      </c>
      <c r="F89" s="13">
        <f>F88+E88+PARAMETERS!$B$14</f>
        <v>1298.0219718790559</v>
      </c>
      <c r="G89" s="4">
        <f>PARAMETERS!$B$9*F89</f>
        <v>2.8423838800271297</v>
      </c>
      <c r="H89" s="4">
        <f>MAX(PARAMETERS!$B$6,PARAMETERS!$B$6+PARAMETERS!$B$10*(G89-PARAMETERS!$B$11))</f>
        <v>5.0135758200406944E-2</v>
      </c>
      <c r="I89" s="4">
        <f>PARAMETERS!$B$4/BAU!H89</f>
        <v>1.4959382822177252</v>
      </c>
      <c r="L89" s="10"/>
      <c r="N89" s="135"/>
      <c r="P89" s="6"/>
    </row>
    <row r="90" spans="1:17" ht="20.149999999999999" customHeight="1" x14ac:dyDescent="0.35">
      <c r="A90" s="1">
        <f t="shared" si="2"/>
        <v>2065</v>
      </c>
      <c r="B90" s="13">
        <f>B89+PARAMETERS!$B$5*C89-H89*B89</f>
        <v>3170.6604721954664</v>
      </c>
      <c r="C90" s="13">
        <f>B90*PARAMETERS!$B$4</f>
        <v>237.79953541465997</v>
      </c>
      <c r="D90" s="4">
        <f t="shared" si="3"/>
        <v>9.8642417995932069E-3</v>
      </c>
      <c r="E90" s="10">
        <f>PARAMETERS!$B$7*C90^PARAMETERS!$B$8</f>
        <v>16.655399097485716</v>
      </c>
      <c r="F90" s="13">
        <f>F89+E89+PARAMETERS!$B$14</f>
        <v>1316.0904052884193</v>
      </c>
      <c r="G90" s="4">
        <f>PARAMETERS!$B$9*F90</f>
        <v>2.8819497926023785</v>
      </c>
      <c r="H90" s="4">
        <f>MAX(PARAMETERS!$B$6,PARAMETERS!$B$6+PARAMETERS!$B$10*(G90-PARAMETERS!$B$11))</f>
        <v>5.0729246889035677E-2</v>
      </c>
      <c r="I90" s="4">
        <f>PARAMETERS!$B$4/BAU!H90</f>
        <v>1.4784370870723504</v>
      </c>
      <c r="L90" s="10"/>
      <c r="N90" s="135"/>
      <c r="Q90" s="6"/>
    </row>
    <row r="91" spans="1:17" ht="20.149999999999999" customHeight="1" x14ac:dyDescent="0.35">
      <c r="A91" s="1">
        <f t="shared" si="2"/>
        <v>2066</v>
      </c>
      <c r="B91" s="13">
        <f>B90+PARAMETERS!$B$5*C90-H90*B90</f>
        <v>3200.0548826318841</v>
      </c>
      <c r="C91" s="13">
        <f>B91*PARAMETERS!$B$4</f>
        <v>240.00411619739128</v>
      </c>
      <c r="D91" s="4">
        <f t="shared" si="3"/>
        <v>9.2707531109642513E-3</v>
      </c>
      <c r="E91" s="10">
        <f>PARAMETERS!$B$7*C91^PARAMETERS!$B$8</f>
        <v>16.737572743578458</v>
      </c>
      <c r="F91" s="13">
        <f>F90+E90+PARAMETERS!$B$14</f>
        <v>1334.2458043859051</v>
      </c>
      <c r="G91" s="4">
        <f>PARAMETERS!$B$9*F91</f>
        <v>2.9217061409910334</v>
      </c>
      <c r="H91" s="4">
        <f>MAX(PARAMETERS!$B$6,PARAMETERS!$B$6+PARAMETERS!$B$10*(G91-PARAMETERS!$B$11))</f>
        <v>5.1325592114865495E-2</v>
      </c>
      <c r="I91" s="4">
        <f>PARAMETERS!$B$4/BAU!H91</f>
        <v>1.4612593232660955</v>
      </c>
      <c r="L91" s="10"/>
      <c r="N91" s="135"/>
    </row>
    <row r="92" spans="1:17" ht="20.149999999999999" customHeight="1" x14ac:dyDescent="0.35">
      <c r="A92" s="1">
        <f t="shared" si="2"/>
        <v>2067</v>
      </c>
      <c r="B92" s="13">
        <f>B91+PARAMETERS!$B$5*C91-H91*B91</f>
        <v>3227.813463938649</v>
      </c>
      <c r="C92" s="13">
        <f>B92*PARAMETERS!$B$4</f>
        <v>242.08600979539867</v>
      </c>
      <c r="D92" s="4">
        <f t="shared" si="3"/>
        <v>8.6744078851344816E-3</v>
      </c>
      <c r="E92" s="10">
        <f>PARAMETERS!$B$7*C92^PARAMETERS!$B$8</f>
        <v>16.81485056057096</v>
      </c>
      <c r="F92" s="13">
        <f>F91+E91+PARAMETERS!$B$14</f>
        <v>1352.4833771294836</v>
      </c>
      <c r="G92" s="4">
        <f>PARAMETERS!$B$9*F92</f>
        <v>2.9616424316704024</v>
      </c>
      <c r="H92" s="4">
        <f>MAX(PARAMETERS!$B$6,PARAMETERS!$B$6+PARAMETERS!$B$10*(G92-PARAMETERS!$B$11))</f>
        <v>5.1924636475056032E-2</v>
      </c>
      <c r="I92" s="4">
        <f>PARAMETERS!$B$4/BAU!H92</f>
        <v>1.4444010606801088</v>
      </c>
      <c r="L92" s="10"/>
      <c r="N92" s="135"/>
    </row>
    <row r="93" spans="1:17" ht="20.149999999999999" customHeight="1" x14ac:dyDescent="0.35">
      <c r="A93" s="1">
        <f t="shared" si="2"/>
        <v>2068</v>
      </c>
      <c r="B93" s="13">
        <f>B92+PARAMETERS!$B$5*C92-H92*B92</f>
        <v>3253.8792310506624</v>
      </c>
      <c r="C93" s="13">
        <f>B93*PARAMETERS!$B$4</f>
        <v>244.04094232879967</v>
      </c>
      <c r="D93" s="4">
        <f t="shared" si="3"/>
        <v>8.075363524944033E-3</v>
      </c>
      <c r="E93" s="10">
        <f>PARAMETERS!$B$7*C93^PARAMETERS!$B$8</f>
        <v>16.887133857085871</v>
      </c>
      <c r="F93" s="13">
        <f>F92+E92+PARAMETERS!$B$14</f>
        <v>1370.7982276900545</v>
      </c>
      <c r="G93" s="4">
        <f>PARAMETERS!$B$9*F93</f>
        <v>3.0017479438468349</v>
      </c>
      <c r="H93" s="4">
        <f>MAX(PARAMETERS!$B$6,PARAMETERS!$B$6+PARAMETERS!$B$10*(G93-PARAMETERS!$B$11))</f>
        <v>5.2526219157702517E-2</v>
      </c>
      <c r="I93" s="4">
        <f>PARAMETERS!$B$4/BAU!H93</f>
        <v>1.4278583382295829</v>
      </c>
      <c r="L93" s="10"/>
      <c r="N93" s="135"/>
    </row>
    <row r="94" spans="1:17" ht="20.149999999999999" customHeight="1" x14ac:dyDescent="0.35">
      <c r="A94" s="1">
        <f t="shared" si="2"/>
        <v>2069</v>
      </c>
      <c r="B94" s="13">
        <f>B93+PARAMETERS!$B$5*C93-H93*B93</f>
        <v>3278.1980113108384</v>
      </c>
      <c r="C94" s="13">
        <f>B94*PARAMETERS!$B$4</f>
        <v>245.86485084831287</v>
      </c>
      <c r="D94" s="4">
        <f t="shared" si="3"/>
        <v>7.473780842297436E-3</v>
      </c>
      <c r="E94" s="10">
        <f>PARAMETERS!$B$7*C94^PARAMETERS!$B$8</f>
        <v>16.954329292476142</v>
      </c>
      <c r="F94" s="13">
        <f>F93+E93+PARAMETERS!$B$14</f>
        <v>1389.1853615471405</v>
      </c>
      <c r="G94" s="4">
        <f>PARAMETERS!$B$9*F94</f>
        <v>3.0420117406141767</v>
      </c>
      <c r="H94" s="4">
        <f>MAX(PARAMETERS!$B$6,PARAMETERS!$B$6+PARAMETERS!$B$10*(G94-PARAMETERS!$B$11))</f>
        <v>5.3130176109212647E-2</v>
      </c>
      <c r="I94" s="4">
        <f>PARAMETERS!$B$4/BAU!H94</f>
        <v>1.4116271673150953</v>
      </c>
      <c r="L94" s="10"/>
      <c r="N94" s="135"/>
    </row>
    <row r="95" spans="1:17" ht="20.149999999999999" customHeight="1" x14ac:dyDescent="0.35">
      <c r="A95" s="1">
        <f t="shared" si="2"/>
        <v>2070</v>
      </c>
      <c r="B95" s="13">
        <f>B94+PARAMETERS!$B$5*C94-H94*B94</f>
        <v>3300.718654327673</v>
      </c>
      <c r="C95" s="13">
        <f>B95*PARAMETERS!$B$4</f>
        <v>247.55389907457547</v>
      </c>
      <c r="D95" s="4">
        <f t="shared" si="3"/>
        <v>6.8698238907873143E-3</v>
      </c>
      <c r="E95" s="10">
        <f>PARAMETERS!$B$7*C95^PARAMETERS!$B$8</f>
        <v>17.016349121271414</v>
      </c>
      <c r="F95" s="13">
        <f>F94+E94+PARAMETERS!$B$14</f>
        <v>1407.6396908396166</v>
      </c>
      <c r="G95" s="4">
        <f>PARAMETERS!$B$9*F95</f>
        <v>3.0824226806706934</v>
      </c>
      <c r="H95" s="4">
        <f>MAX(PARAMETERS!$B$6,PARAMETERS!$B$6+PARAMETERS!$B$10*(G95-PARAMETERS!$B$11))</f>
        <v>5.37363402100604E-2</v>
      </c>
      <c r="I95" s="4">
        <f>PARAMETERS!$B$4/BAU!H95</f>
        <v>1.3957035352020244</v>
      </c>
      <c r="L95" s="10"/>
      <c r="N95" s="135"/>
    </row>
    <row r="96" spans="1:17" ht="20.149999999999999" customHeight="1" x14ac:dyDescent="0.35">
      <c r="A96" s="1">
        <f t="shared" si="2"/>
        <v>2071</v>
      </c>
      <c r="B96" s="13">
        <f>B95+PARAMETERS!$B$5*C95-H95*B95</f>
        <v>3321.3932330406888</v>
      </c>
      <c r="C96" s="13">
        <f>B96*PARAMETERS!$B$4</f>
        <v>249.10449247805164</v>
      </c>
      <c r="D96" s="4">
        <f t="shared" si="3"/>
        <v>6.2636597899395456E-3</v>
      </c>
      <c r="E96" s="10">
        <f>PARAMETERS!$B$7*C96^PARAMETERS!$B$8</f>
        <v>17.073111425979167</v>
      </c>
      <c r="F96" s="13">
        <f>F95+E95+PARAMETERS!$B$14</f>
        <v>1426.1560399608879</v>
      </c>
      <c r="G96" s="4">
        <f>PARAMETERS!$B$9*F96</f>
        <v>3.1229694305712878</v>
      </c>
      <c r="H96" s="4">
        <f>MAX(PARAMETERS!$B$6,PARAMETERS!$B$6+PARAMETERS!$B$10*(G96-PARAMETERS!$B$11))</f>
        <v>5.4344541458569318E-2</v>
      </c>
      <c r="I96" s="4">
        <f>PARAMETERS!$B$4/BAU!H96</f>
        <v>1.3800834083249702</v>
      </c>
      <c r="L96" s="10"/>
      <c r="N96" s="135"/>
    </row>
    <row r="97" spans="1:20" ht="20.149999999999999" customHeight="1" x14ac:dyDescent="0.35">
      <c r="A97" s="1">
        <f t="shared" si="2"/>
        <v>2072</v>
      </c>
      <c r="B97" s="13">
        <f>B96+PARAMETERS!$B$5*C96-H96*B96</f>
        <v>3340.1772347699389</v>
      </c>
      <c r="C97" s="13">
        <f>B97*PARAMETERS!$B$4</f>
        <v>250.5132926077454</v>
      </c>
      <c r="D97" s="4">
        <f t="shared" si="3"/>
        <v>5.6554585414307097E-3</v>
      </c>
      <c r="E97" s="10">
        <f>PARAMETERS!$B$7*C97^PARAMETERS!$B$8</f>
        <v>17.124540337220278</v>
      </c>
      <c r="F97" s="13">
        <f>F96+E96+PARAMETERS!$B$14</f>
        <v>1444.7291513868672</v>
      </c>
      <c r="G97" s="4">
        <f>PARAMETERS!$B$9*F97</f>
        <v>3.1636404774894906</v>
      </c>
      <c r="H97" s="4">
        <f>MAX(PARAMETERS!$B$6,PARAMETERS!$B$6+PARAMETERS!$B$10*(G97-PARAMETERS!$B$11))</f>
        <v>5.4954607162342357E-2</v>
      </c>
      <c r="I97" s="4">
        <f>PARAMETERS!$B$4/BAU!H97</f>
        <v>1.3647627355144438</v>
      </c>
      <c r="L97" s="10"/>
      <c r="N97" s="135"/>
    </row>
    <row r="98" spans="1:20" ht="20.149999999999999" customHeight="1" x14ac:dyDescent="0.35">
      <c r="A98" s="1">
        <f t="shared" si="2"/>
        <v>2073</v>
      </c>
      <c r="B98" s="13">
        <f>B97+PARAMETERS!$B$5*C97-H97*B97</f>
        <v>3357.029741066754</v>
      </c>
      <c r="C98" s="13">
        <f>B98*PARAMETERS!$B$4</f>
        <v>251.77723058000655</v>
      </c>
      <c r="D98" s="4">
        <f t="shared" si="3"/>
        <v>5.0453928376576213E-3</v>
      </c>
      <c r="E98" s="10">
        <f>PARAMETERS!$B$7*C98^PARAMETERS!$B$8</f>
        <v>17.170566240219419</v>
      </c>
      <c r="F98" s="13">
        <f>F97+E97+PARAMETERS!$B$14</f>
        <v>1463.3536917240874</v>
      </c>
      <c r="G98" s="4">
        <f>PARAMETERS!$B$9*F98</f>
        <v>3.2044241424615056</v>
      </c>
      <c r="H98" s="4">
        <f>MAX(PARAMETERS!$B$6,PARAMETERS!$B$6+PARAMETERS!$B$10*(G98-PARAMETERS!$B$11))</f>
        <v>5.5566362136922579E-2</v>
      </c>
      <c r="I98" s="4">
        <f>PARAMETERS!$B$4/BAU!H98</f>
        <v>1.3497374511433817</v>
      </c>
      <c r="L98" s="10"/>
      <c r="N98" s="135"/>
      <c r="P98" s="6"/>
    </row>
    <row r="99" spans="1:20" ht="20.149999999999999" customHeight="1" x14ac:dyDescent="0.35">
      <c r="A99" s="1">
        <f t="shared" si="2"/>
        <v>2074</v>
      </c>
      <c r="B99" s="13">
        <f>B98+PARAMETERS!$B$5*C98-H98*B98</f>
        <v>3371.9135952342244</v>
      </c>
      <c r="C99" s="13">
        <f>B99*PARAMETERS!$B$4</f>
        <v>252.89351964256682</v>
      </c>
      <c r="D99" s="4">
        <f t="shared" si="3"/>
        <v>4.433637863077336E-3</v>
      </c>
      <c r="E99" s="10">
        <f>PARAMETERS!$B$7*C99^PARAMETERS!$B$8</f>
        <v>17.211125966717525</v>
      </c>
      <c r="F99" s="13">
        <f>F98+E98+PARAMETERS!$B$14</f>
        <v>1482.0242579643068</v>
      </c>
      <c r="G99" s="4">
        <f>PARAMETERS!$B$9*F99</f>
        <v>3.2453085940824238</v>
      </c>
      <c r="H99" s="4">
        <f>MAX(PARAMETERS!$B$6,PARAMETERS!$B$6+PARAMETERS!$B$10*(G99-PARAMETERS!$B$11))</f>
        <v>5.6179628911236359E-2</v>
      </c>
      <c r="I99" s="4">
        <f>PARAMETERS!$B$4/BAU!H99</f>
        <v>1.3350034781913525</v>
      </c>
      <c r="L99" s="10"/>
      <c r="N99" s="135"/>
      <c r="Q99" s="6"/>
    </row>
    <row r="100" spans="1:20" ht="20.149999999999999" customHeight="1" x14ac:dyDescent="0.35">
      <c r="A100" s="1">
        <f t="shared" si="2"/>
        <v>2075</v>
      </c>
      <c r="B100" s="13">
        <f>B99+PARAMETERS!$B$5*C99-H99*B99</f>
        <v>3384.7955564472663</v>
      </c>
      <c r="C100" s="13">
        <f>B100*PARAMETERS!$B$4</f>
        <v>253.85966673354497</v>
      </c>
      <c r="D100" s="4">
        <f t="shared" si="3"/>
        <v>3.8203710887636886E-3</v>
      </c>
      <c r="E100" s="10">
        <f>PARAMETERS!$B$7*C100^PARAMETERS!$B$8</f>
        <v>17.246162971427555</v>
      </c>
      <c r="F100" s="13">
        <f>F99+E99+PARAMETERS!$B$14</f>
        <v>1500.7353839310242</v>
      </c>
      <c r="G100" s="4">
        <f>PARAMETERS!$B$9*F100</f>
        <v>3.2862818626226811</v>
      </c>
      <c r="H100" s="4">
        <f>MAX(PARAMETERS!$B$6,PARAMETERS!$B$6+PARAMETERS!$B$10*(G100-PARAMETERS!$B$11))</f>
        <v>5.6794227939340212E-2</v>
      </c>
      <c r="I100" s="4">
        <f>PARAMETERS!$B$4/BAU!H100</f>
        <v>1.3205567312246007</v>
      </c>
      <c r="L100" s="10"/>
      <c r="N100" s="135"/>
    </row>
    <row r="101" spans="1:20" ht="20.149999999999999" customHeight="1" x14ac:dyDescent="0.35">
      <c r="A101" s="1">
        <f t="shared" si="2"/>
        <v>2076</v>
      </c>
      <c r="B101" s="13">
        <f>B100+PARAMETERS!$B$5*C100-H100*B100</f>
        <v>3395.6464394731706</v>
      </c>
      <c r="C101" s="13">
        <f>B101*PARAMETERS!$B$4</f>
        <v>254.67348296048777</v>
      </c>
      <c r="D101" s="4">
        <f t="shared" si="3"/>
        <v>3.2057720606597944E-3</v>
      </c>
      <c r="E101" s="10">
        <f>PARAMETERS!$B$7*C101^PARAMETERS!$B$8</f>
        <v>17.27562749221341</v>
      </c>
      <c r="F101" s="13">
        <f>F100+E100+PARAMETERS!$B$14</f>
        <v>1519.4815469024518</v>
      </c>
      <c r="G101" s="4">
        <f>PARAMETERS!$B$9*F101</f>
        <v>3.3273318545309167</v>
      </c>
      <c r="H101" s="4">
        <f>MAX(PARAMETERS!$B$6,PARAMETERS!$B$6+PARAMETERS!$B$10*(G101-PARAMETERS!$B$11))</f>
        <v>5.7409977817963753E-2</v>
      </c>
      <c r="I101" s="4">
        <f>PARAMETERS!$B$4/BAU!H101</f>
        <v>1.3063931192903593</v>
      </c>
      <c r="L101" s="10"/>
      <c r="N101" s="135"/>
    </row>
    <row r="102" spans="1:20" ht="20.149999999999999" customHeight="1" x14ac:dyDescent="0.35">
      <c r="A102" s="1">
        <f t="shared" si="2"/>
        <v>2077</v>
      </c>
      <c r="B102" s="13">
        <f>B101+PARAMETERS!$B$5*C101-H101*B101</f>
        <v>3404.4412390737584</v>
      </c>
      <c r="C102" s="13">
        <f>B102*PARAMETERS!$B$4</f>
        <v>255.33309293053188</v>
      </c>
      <c r="D102" s="4">
        <f t="shared" si="3"/>
        <v>2.5900221820362788E-3</v>
      </c>
      <c r="E102" s="10">
        <f>PARAMETERS!$B$7*C102^PARAMETERS!$B$8</f>
        <v>17.29947669323753</v>
      </c>
      <c r="F102" s="13">
        <f>F101+E101+PARAMETERS!$B$14</f>
        <v>1538.2571743946653</v>
      </c>
      <c r="G102" s="4">
        <f>PARAMETERS!$B$9*F102</f>
        <v>3.3684463672875884</v>
      </c>
      <c r="H102" s="4">
        <f>MAX(PARAMETERS!$B$6,PARAMETERS!$B$6+PARAMETERS!$B$10*(G102-PARAMETERS!$B$11))</f>
        <v>5.8026695509313823E-2</v>
      </c>
      <c r="I102" s="4">
        <f>PARAMETERS!$B$4/BAU!H102</f>
        <v>1.2925085487241266</v>
      </c>
      <c r="L102" s="10"/>
      <c r="N102" s="135"/>
    </row>
    <row r="103" spans="1:20" ht="20.149999999999999" customHeight="1" x14ac:dyDescent="0.35">
      <c r="A103" s="1">
        <f t="shared" si="2"/>
        <v>2078</v>
      </c>
      <c r="B103" s="13">
        <f>B102+PARAMETERS!$B$5*C102-H102*B102</f>
        <v>3411.1592382591002</v>
      </c>
      <c r="C103" s="13">
        <f>B103*PARAMETERS!$B$4</f>
        <v>255.83694286943251</v>
      </c>
      <c r="D103" s="4">
        <f t="shared" si="3"/>
        <v>1.9733044906862533E-3</v>
      </c>
      <c r="E103" s="10">
        <f>PARAMETERS!$B$7*C103^PARAMETERS!$B$8</f>
        <v>17.317674790392736</v>
      </c>
      <c r="F103" s="13">
        <f>F102+E102+PARAMETERS!$B$14</f>
        <v>1557.0566510879028</v>
      </c>
      <c r="G103" s="4">
        <f>PARAMETERS!$B$9*F103</f>
        <v>3.4096131045720504</v>
      </c>
      <c r="H103" s="4">
        <f>MAX(PARAMETERS!$B$6,PARAMETERS!$B$6+PARAMETERS!$B$10*(G103-PARAMETERS!$B$11))</f>
        <v>5.8644196568580755E-2</v>
      </c>
      <c r="I103" s="4">
        <f>PARAMETERS!$B$4/BAU!H103</f>
        <v>1.2788989258688563</v>
      </c>
      <c r="L103" s="10"/>
      <c r="N103" s="135"/>
    </row>
    <row r="104" spans="1:20" ht="20.149999999999999" customHeight="1" x14ac:dyDescent="0.35">
      <c r="A104" s="1">
        <f t="shared" si="2"/>
        <v>2079</v>
      </c>
      <c r="B104" s="13">
        <f>B103+PARAMETERS!$B$5*C103-H103*B103</f>
        <v>3415.7840996594491</v>
      </c>
      <c r="C104" s="13">
        <f>B104*PARAMETERS!$B$4</f>
        <v>256.18380747445866</v>
      </c>
      <c r="D104" s="4">
        <f t="shared" si="3"/>
        <v>1.3558034314191259E-3</v>
      </c>
      <c r="E104" s="10">
        <f>PARAMETERS!$B$7*C104^PARAMETERS!$B$8</f>
        <v>17.330193158409166</v>
      </c>
      <c r="F104" s="13">
        <f>F103+E103+PARAMETERS!$B$14</f>
        <v>1575.8743258782954</v>
      </c>
      <c r="G104" s="4">
        <f>PARAMETERS!$B$9*F104</f>
        <v>3.4508196917042966</v>
      </c>
      <c r="H104" s="4">
        <f>MAX(PARAMETERS!$B$6,PARAMETERS!$B$6+PARAMETERS!$B$10*(G104-PARAMETERS!$B$11))</f>
        <v>5.9262295375564447E-2</v>
      </c>
      <c r="I104" s="4">
        <f>PARAMETERS!$B$4/BAU!H104</f>
        <v>1.2655601597052661</v>
      </c>
      <c r="L104" s="10"/>
      <c r="N104" s="135"/>
    </row>
    <row r="105" spans="1:20" ht="20.149999999999999" customHeight="1" x14ac:dyDescent="0.35">
      <c r="A105" s="1">
        <f t="shared" si="2"/>
        <v>2080</v>
      </c>
      <c r="B105" s="13">
        <f>B104+PARAMETERS!$B$5*C104-H104*B104</f>
        <v>3418.3039393858417</v>
      </c>
      <c r="C105" s="13">
        <f>B105*PARAMETERS!$B$4</f>
        <v>256.37279545393812</v>
      </c>
      <c r="D105" s="4">
        <f t="shared" si="3"/>
        <v>7.3770462443574123E-4</v>
      </c>
      <c r="E105" s="10">
        <f>PARAMETERS!$B$7*C105^PARAMETERS!$B$8</f>
        <v>17.337010419106708</v>
      </c>
      <c r="F105" s="13">
        <f>F104+E104+PARAMETERS!$B$14</f>
        <v>1594.7045190367046</v>
      </c>
      <c r="G105" s="4">
        <f>PARAMETERS!$B$9*F105</f>
        <v>3.4920536913212512</v>
      </c>
      <c r="H105" s="4">
        <f>MAX(PARAMETERS!$B$6,PARAMETERS!$B$6+PARAMETERS!$B$10*(G105-PARAMETERS!$B$11))</f>
        <v>5.9880805369818768E-2</v>
      </c>
      <c r="I105" s="4">
        <f>PARAMETERS!$B$4/BAU!H105</f>
        <v>1.252488164392686</v>
      </c>
      <c r="L105" s="10"/>
      <c r="N105" s="135"/>
    </row>
    <row r="106" spans="1:20" s="6" customFormat="1" ht="20.149999999999999" customHeight="1" x14ac:dyDescent="0.35">
      <c r="A106" s="1">
        <f t="shared" si="2"/>
        <v>2081</v>
      </c>
      <c r="B106" s="13">
        <f>B105+PARAMETERS!$B$5*C105-H105*B105</f>
        <v>3418.7113828597439</v>
      </c>
      <c r="C106" s="13">
        <f>B106*PARAMETERS!$B$4</f>
        <v>256.40335371448077</v>
      </c>
      <c r="D106" s="4">
        <f t="shared" si="3"/>
        <v>1.1919463018118206E-4</v>
      </c>
      <c r="E106" s="10">
        <f>PARAMETERS!$B$7*C106^PARAMETERS!$B$8</f>
        <v>17.338112510347052</v>
      </c>
      <c r="F106" s="13">
        <f>F105+E105+PARAMETERS!$B$14</f>
        <v>1613.5415294558113</v>
      </c>
      <c r="G106" s="4">
        <f>PARAMETERS!$B$9*F106</f>
        <v>3.5333026192463026</v>
      </c>
      <c r="H106" s="4">
        <f>MAX(PARAMETERS!$B$6,PARAMETERS!$B$6+PARAMETERS!$B$10*(G106-PARAMETERS!$B$11))</f>
        <v>6.0499539288694539E-2</v>
      </c>
      <c r="I106" s="4">
        <f>PARAMETERS!$B$4/BAU!H106</f>
        <v>1.2396788617201113</v>
      </c>
      <c r="J106" s="53"/>
      <c r="L106" s="10"/>
      <c r="M106" s="1"/>
      <c r="N106" s="135"/>
      <c r="O106" s="1"/>
      <c r="P106" s="1"/>
      <c r="Q106" s="1"/>
      <c r="T106" s="1"/>
    </row>
    <row r="107" spans="1:20" ht="20.149999999999999" customHeight="1" x14ac:dyDescent="0.35">
      <c r="A107" s="1">
        <f t="shared" si="2"/>
        <v>2082</v>
      </c>
      <c r="B107" s="13">
        <f>B106+PARAMETERS!$B$5*C106-H106*B106</f>
        <v>3417.0036022072982</v>
      </c>
      <c r="C107" s="13">
        <f>B107*PARAMETERS!$B$4</f>
        <v>256.27527016554734</v>
      </c>
      <c r="D107" s="4">
        <f t="shared" si="3"/>
        <v>-4.9953928869456317E-4</v>
      </c>
      <c r="E107" s="10">
        <f>PARAMETERS!$B$7*C107^PARAMETERS!$B$8</f>
        <v>17.333492735326111</v>
      </c>
      <c r="F107" s="13">
        <f>F106+E106+PARAMETERS!$B$14</f>
        <v>1632.3796419661583</v>
      </c>
      <c r="G107" s="4">
        <f>PARAMETERS!$B$9*F107</f>
        <v>3.574553960509836</v>
      </c>
      <c r="H107" s="4">
        <f>MAX(PARAMETERS!$B$6,PARAMETERS!$B$6+PARAMETERS!$B$10*(G107-PARAMETERS!$B$11))</f>
        <v>6.1118309407647536E-2</v>
      </c>
      <c r="I107" s="4">
        <f>PARAMETERS!$B$4/BAU!H107</f>
        <v>1.2271281834673178</v>
      </c>
      <c r="L107" s="10"/>
      <c r="N107" s="135"/>
    </row>
    <row r="108" spans="1:20" ht="20.149999999999999" customHeight="1" x14ac:dyDescent="0.35">
      <c r="A108" s="1">
        <f t="shared" si="2"/>
        <v>2083</v>
      </c>
      <c r="B108" s="13">
        <f>B107+PARAMETERS!$B$5*C107-H107*B107</f>
        <v>3413.1823349329843</v>
      </c>
      <c r="C108" s="13">
        <f>B108*PARAMETERS!$B$4</f>
        <v>255.98867511997381</v>
      </c>
      <c r="D108" s="4">
        <f t="shared" si="3"/>
        <v>-1.1183094076474929E-3</v>
      </c>
      <c r="E108" s="10">
        <f>PARAMETERS!$B$7*C108^PARAMETERS!$B$8</f>
        <v>17.323151791937416</v>
      </c>
      <c r="F108" s="13">
        <f>F107+E107+PARAMETERS!$B$14</f>
        <v>1651.2131347014845</v>
      </c>
      <c r="G108" s="4">
        <f>PARAMETERS!$B$9*F108</f>
        <v>3.6157951854777037</v>
      </c>
      <c r="H108" s="4">
        <f>MAX(PARAMETERS!$B$6,PARAMETERS!$B$6+PARAMETERS!$B$10*(G108-PARAMETERS!$B$11))</f>
        <v>6.1736927782165552E-2</v>
      </c>
      <c r="I108" s="4">
        <f>PARAMETERS!$B$4/BAU!H108</f>
        <v>1.2148320736761031</v>
      </c>
      <c r="L108" s="10"/>
      <c r="N108" s="135"/>
    </row>
    <row r="109" spans="1:20" ht="20.149999999999999" customHeight="1" x14ac:dyDescent="0.35">
      <c r="A109" s="1">
        <f t="shared" si="2"/>
        <v>2084</v>
      </c>
      <c r="B109" s="13">
        <f>B108+PARAMETERS!$B$5*C108-H108*B108</f>
        <v>3407.2538837098423</v>
      </c>
      <c r="C109" s="13">
        <f>B109*PARAMETERS!$B$4</f>
        <v>255.54404127823815</v>
      </c>
      <c r="D109" s="4">
        <f t="shared" si="3"/>
        <v>-1.7369277821656197E-3</v>
      </c>
      <c r="E109" s="10">
        <f>PARAMETERS!$B$7*C109^PARAMETERS!$B$8</f>
        <v>17.307097782028684</v>
      </c>
      <c r="F109" s="13">
        <f>F108+E108+PARAMETERS!$B$14</f>
        <v>1670.0362864934218</v>
      </c>
      <c r="G109" s="4">
        <f>PARAMETERS!$B$9*F109</f>
        <v>3.6570137660439896</v>
      </c>
      <c r="H109" s="4">
        <f>MAX(PARAMETERS!$B$6,PARAMETERS!$B$6+PARAMETERS!$B$10*(G109-PARAMETERS!$B$11))</f>
        <v>6.2355206490659842E-2</v>
      </c>
      <c r="I109" s="4">
        <f>PARAMETERS!$B$4/BAU!H109</f>
        <v>1.2027864908319117</v>
      </c>
      <c r="L109" s="10"/>
      <c r="N109" s="135"/>
      <c r="P109" s="6"/>
      <c r="Q109" s="6"/>
    </row>
    <row r="110" spans="1:20" ht="20.149999999999999" customHeight="1" x14ac:dyDescent="0.35">
      <c r="A110" s="1">
        <f t="shared" si="2"/>
        <v>2085</v>
      </c>
      <c r="B110" s="13">
        <f>B109+PARAMETERS!$B$5*C109-H109*B109</f>
        <v>3399.229097247603</v>
      </c>
      <c r="C110" s="13">
        <f>B110*PARAMETERS!$B$4</f>
        <v>254.94218229357023</v>
      </c>
      <c r="D110" s="4">
        <f t="shared" si="3"/>
        <v>-2.3552064906597423E-3</v>
      </c>
      <c r="E110" s="10">
        <f>PARAMETERS!$B$7*C110^PARAMETERS!$B$8</f>
        <v>17.285346200467064</v>
      </c>
      <c r="F110" s="13">
        <f>F109+E109+PARAMETERS!$B$14</f>
        <v>1688.8433842754505</v>
      </c>
      <c r="G110" s="4">
        <f>PARAMETERS!$B$9*F110</f>
        <v>3.6981971918440526</v>
      </c>
      <c r="H110" s="4">
        <f>MAX(PARAMETERS!$B$6,PARAMETERS!$B$6+PARAMETERS!$B$10*(G110-PARAMETERS!$B$11))</f>
        <v>6.2972957877660787E-2</v>
      </c>
      <c r="I110" s="4">
        <f>PARAMETERS!$B$4/BAU!H110</f>
        <v>1.1909874099562618</v>
      </c>
      <c r="L110" s="10"/>
      <c r="N110" s="135"/>
      <c r="R110" s="6"/>
    </row>
    <row r="111" spans="1:20" ht="20.149999999999999" customHeight="1" x14ac:dyDescent="0.35">
      <c r="A111" s="1">
        <f t="shared" si="2"/>
        <v>2086</v>
      </c>
      <c r="B111" s="13">
        <f>B110+PARAMETERS!$B$5*C110-H110*B110</f>
        <v>3389.1233323249671</v>
      </c>
      <c r="C111" s="13">
        <f>B111*PARAMETERS!$B$4</f>
        <v>254.18424992437252</v>
      </c>
      <c r="D111" s="4">
        <f t="shared" si="3"/>
        <v>-2.9729578776607939E-3</v>
      </c>
      <c r="E111" s="10">
        <f>PARAMETERS!$B$7*C111^PARAMETERS!$B$8</f>
        <v>17.257919904022753</v>
      </c>
      <c r="F111" s="13">
        <f>F110+E110+PARAMETERS!$B$14</f>
        <v>1707.6287304759176</v>
      </c>
      <c r="G111" s="4">
        <f>PARAMETERS!$B$9*F111</f>
        <v>3.7393329864436153</v>
      </c>
      <c r="H111" s="4">
        <f>MAX(PARAMETERS!$B$6,PARAMETERS!$B$6+PARAMETERS!$B$10*(G111-PARAMETERS!$B$11))</f>
        <v>6.3589994796654226E-2</v>
      </c>
      <c r="I111" s="4">
        <f>PARAMETERS!$B$4/BAU!H111</f>
        <v>1.1794308246105738</v>
      </c>
      <c r="L111" s="10"/>
      <c r="N111" s="135"/>
    </row>
    <row r="112" spans="1:20" ht="20.149999999999999" customHeight="1" x14ac:dyDescent="0.35">
      <c r="A112" s="1">
        <f t="shared" si="2"/>
        <v>2087</v>
      </c>
      <c r="B112" s="13">
        <f>B111+PARAMETERS!$B$5*C111-H111*B111</f>
        <v>3376.9563971967013</v>
      </c>
      <c r="C112" s="13">
        <f>B112*PARAMETERS!$B$4</f>
        <v>253.27172978975258</v>
      </c>
      <c r="D112" s="4">
        <f t="shared" si="3"/>
        <v>-3.5899947966541641E-3</v>
      </c>
      <c r="E112" s="10">
        <f>PARAMETERS!$B$7*C112^PARAMETERS!$B$8</f>
        <v>17.224849060174893</v>
      </c>
      <c r="F112" s="13">
        <f>F111+E111+PARAMETERS!$B$14</f>
        <v>1726.3866503799404</v>
      </c>
      <c r="G112" s="4">
        <f>PARAMETERS!$B$9*F112</f>
        <v>3.7804087234597237</v>
      </c>
      <c r="H112" s="4">
        <f>MAX(PARAMETERS!$B$6,PARAMETERS!$B$6+PARAMETERS!$B$10*(G112-PARAMETERS!$B$11))</f>
        <v>6.420613085189586E-2</v>
      </c>
      <c r="I112" s="4">
        <f>PARAMETERS!$B$4/BAU!H112</f>
        <v>1.1681127488121397</v>
      </c>
      <c r="L112" s="10"/>
      <c r="N112" s="135"/>
    </row>
    <row r="113" spans="1:20" ht="20.149999999999999" customHeight="1" x14ac:dyDescent="0.35">
      <c r="A113" s="1">
        <f t="shared" si="2"/>
        <v>2088</v>
      </c>
      <c r="B113" s="13">
        <f>B112+PARAMETERS!$B$5*C112-H112*B112</f>
        <v>3362.7524767089453</v>
      </c>
      <c r="C113" s="13">
        <f>B113*PARAMETERS!$B$4</f>
        <v>252.20643575317089</v>
      </c>
      <c r="D113" s="4">
        <f t="shared" si="3"/>
        <v>-4.206130851895782E-3</v>
      </c>
      <c r="E113" s="10">
        <f>PARAMETERS!$B$7*C113^PARAMETERS!$B$8</f>
        <v>17.186171076037354</v>
      </c>
      <c r="F113" s="13">
        <f>F112+E112+PARAMETERS!$B$14</f>
        <v>1745.1114994401153</v>
      </c>
      <c r="G113" s="4">
        <f>PARAMETERS!$B$9*F113</f>
        <v>3.8214120425695959</v>
      </c>
      <c r="H113" s="4">
        <f>MAX(PARAMETERS!$B$6,PARAMETERS!$B$6+PARAMETERS!$B$10*(G113-PARAMETERS!$B$11))</f>
        <v>6.4821180638543946E-2</v>
      </c>
      <c r="I113" s="4">
        <f>PARAMETERS!$B$4/BAU!H113</f>
        <v>1.1570292188631246</v>
      </c>
      <c r="L113" s="10"/>
      <c r="N113" s="135"/>
    </row>
    <row r="114" spans="1:20" ht="20.149999999999999" customHeight="1" x14ac:dyDescent="0.35">
      <c r="A114" s="1">
        <f t="shared" si="2"/>
        <v>2089</v>
      </c>
      <c r="B114" s="13">
        <f>B113+PARAMETERS!$B$5*C113-H113*B113</f>
        <v>3346.5400395760203</v>
      </c>
      <c r="C114" s="13">
        <f>B114*PARAMETERS!$B$4</f>
        <v>250.9905029682015</v>
      </c>
      <c r="D114" s="4">
        <f t="shared" si="3"/>
        <v>-4.8211806385440705E-3</v>
      </c>
      <c r="E114" s="10">
        <f>PARAMETERS!$B$7*C114^PARAMETERS!$B$8</f>
        <v>17.141930507694838</v>
      </c>
      <c r="F114" s="13">
        <f>F113+E113+PARAMETERS!$B$14</f>
        <v>1763.7976705161527</v>
      </c>
      <c r="G114" s="4">
        <f>PARAMETERS!$B$9*F114</f>
        <v>3.8623306653638383</v>
      </c>
      <c r="H114" s="4">
        <f>MAX(PARAMETERS!$B$6,PARAMETERS!$B$6+PARAMETERS!$B$10*(G114-PARAMETERS!$B$11))</f>
        <v>6.5434959980457563E-2</v>
      </c>
      <c r="I114" s="4">
        <f>PARAMETERS!$B$4/BAU!H114</f>
        <v>1.1461762950936178</v>
      </c>
      <c r="L114" s="10"/>
      <c r="N114" s="135"/>
      <c r="S114" s="6"/>
    </row>
    <row r="115" spans="1:20" s="6" customFormat="1" ht="20.149999999999999" customHeight="1" x14ac:dyDescent="0.35">
      <c r="A115" s="1">
        <f t="shared" si="2"/>
        <v>2090</v>
      </c>
      <c r="B115" s="13">
        <f>B114+PARAMETERS!$B$5*C114-H114*B114</f>
        <v>3328.351728387926</v>
      </c>
      <c r="C115" s="13">
        <f>B115*PARAMETERS!$B$4</f>
        <v>249.62637962909443</v>
      </c>
      <c r="D115" s="4">
        <f t="shared" si="3"/>
        <v>-5.43495998045747E-3</v>
      </c>
      <c r="E115" s="10">
        <f>PARAMETERS!$B$7*C115^PARAMETERS!$B$8</f>
        <v>17.092178950330268</v>
      </c>
      <c r="F115" s="13">
        <f>F114+E114+PARAMETERS!$B$14</f>
        <v>1782.4396010238474</v>
      </c>
      <c r="G115" s="4">
        <f>PARAMETERS!$B$9*F115</f>
        <v>3.903152411001126</v>
      </c>
      <c r="H115" s="4">
        <f>MAX(PARAMETERS!$B$6,PARAMETERS!$B$6+PARAMETERS!$B$10*(G115-PARAMETERS!$B$11))</f>
        <v>6.6047286165016886E-2</v>
      </c>
      <c r="I115" s="4">
        <f>PARAMETERS!$B$4/BAU!H115</f>
        <v>1.1355500635198705</v>
      </c>
      <c r="J115" s="53"/>
      <c r="L115" s="10"/>
      <c r="M115" s="1"/>
      <c r="N115" s="135"/>
      <c r="O115" s="1"/>
      <c r="P115" s="1"/>
      <c r="Q115" s="1"/>
      <c r="T115" s="1"/>
    </row>
    <row r="116" spans="1:20" ht="20.149999999999999" customHeight="1" x14ac:dyDescent="0.35">
      <c r="A116" s="1">
        <f t="shared" si="2"/>
        <v>2091</v>
      </c>
      <c r="B116" s="13">
        <f>B115+PARAMETERS!$B$5*C115-H115*B115</f>
        <v>3308.2242330285358</v>
      </c>
      <c r="C116" s="13">
        <f>B116*PARAMETERS!$B$4</f>
        <v>248.11681747714016</v>
      </c>
      <c r="D116" s="4">
        <f t="shared" si="3"/>
        <v>-6.0472861650168646E-3</v>
      </c>
      <c r="E116" s="10">
        <f>PARAMETERS!$B$7*C116^PARAMETERS!$B$8</f>
        <v>17.036974909612887</v>
      </c>
      <c r="F116" s="13">
        <f>F115+E115+PARAMETERS!$B$14</f>
        <v>1801.0317799741777</v>
      </c>
      <c r="G116" s="4">
        <f>PARAMETERS!$B$9*F116</f>
        <v>3.943865211622287</v>
      </c>
      <c r="H116" s="4">
        <f>MAX(PARAMETERS!$B$6,PARAMETERS!$B$6+PARAMETERS!$B$10*(G116-PARAMETERS!$B$11))</f>
        <v>6.6657978174334304E-2</v>
      </c>
      <c r="I116" s="4">
        <f>PARAMETERS!$B$4/BAU!H116</f>
        <v>1.12514663741898</v>
      </c>
      <c r="L116" s="10"/>
      <c r="N116" s="135"/>
    </row>
    <row r="117" spans="1:20" ht="20.149999999999999" customHeight="1" x14ac:dyDescent="0.35">
      <c r="A117" s="1">
        <f t="shared" si="2"/>
        <v>2092</v>
      </c>
      <c r="B117" s="13">
        <f>B116+PARAMETERS!$B$5*C116-H116*B116</f>
        <v>3286.1981482892279</v>
      </c>
      <c r="C117" s="13">
        <f>B117*PARAMETERS!$B$4</f>
        <v>246.46486112169208</v>
      </c>
      <c r="D117" s="4">
        <f t="shared" si="3"/>
        <v>-6.6579781743342677E-3</v>
      </c>
      <c r="E117" s="10">
        <f>PARAMETERS!$B$7*C117^PARAMETERS!$B$8</f>
        <v>16.976383654901884</v>
      </c>
      <c r="F117" s="13">
        <f>F116+E116+PARAMETERS!$B$14</f>
        <v>1819.5687548837905</v>
      </c>
      <c r="G117" s="4">
        <f>PARAMETERS!$B$9*F117</f>
        <v>3.9844571274827532</v>
      </c>
      <c r="H117" s="4">
        <f>MAX(PARAMETERS!$B$6,PARAMETERS!$B$6+PARAMETERS!$B$10*(G117-PARAMETERS!$B$11))</f>
        <v>6.7266856912241296E-2</v>
      </c>
      <c r="I117" s="4">
        <f>PARAMETERS!$B$4/BAU!H117</f>
        <v>1.1149621588213587</v>
      </c>
      <c r="L117" s="10"/>
      <c r="N117" s="135"/>
    </row>
    <row r="118" spans="1:20" ht="20.149999999999999" customHeight="1" x14ac:dyDescent="0.35">
      <c r="A118" s="1">
        <f t="shared" si="2"/>
        <v>2093</v>
      </c>
      <c r="B118" s="13">
        <f>B117+PARAMETERS!$B$5*C117-H117*B117</f>
        <v>3262.3178165603376</v>
      </c>
      <c r="C118" s="13">
        <f>B118*PARAMETERS!$B$4</f>
        <v>244.67383624202532</v>
      </c>
      <c r="D118" s="4">
        <f t="shared" si="3"/>
        <v>-7.2668569122413176E-3</v>
      </c>
      <c r="E118" s="10">
        <f>PARAMETERS!$B$7*C118^PARAMETERS!$B$8</f>
        <v>16.910477054901385</v>
      </c>
      <c r="F118" s="13">
        <f>F117+E117+PARAMETERS!$B$14</f>
        <v>1838.0451385386923</v>
      </c>
      <c r="G118" s="4">
        <f>PARAMETERS!$B$9*F118</f>
        <v>4.0249163617635597</v>
      </c>
      <c r="H118" s="4">
        <f>MAX(PARAMETERS!$B$6,PARAMETERS!$B$6+PARAMETERS!$B$10*(G118-PARAMETERS!$B$11))</f>
        <v>6.7873745426453386E-2</v>
      </c>
      <c r="I118" s="4">
        <f>PARAMETERS!$B$4/BAU!H118</f>
        <v>1.1049927999224454</v>
      </c>
      <c r="L118" s="10"/>
      <c r="N118" s="135"/>
    </row>
    <row r="119" spans="1:20" ht="20.149999999999999" customHeight="1" x14ac:dyDescent="0.35">
      <c r="A119" s="1">
        <f t="shared" si="2"/>
        <v>2094</v>
      </c>
      <c r="B119" s="13">
        <f>B118+PARAMETERS!$B$5*C118-H118*B118</f>
        <v>3236.6311565725582</v>
      </c>
      <c r="C119" s="13">
        <f>B119*PARAMETERS!$B$4</f>
        <v>242.74733674294185</v>
      </c>
      <c r="D119" s="4">
        <f t="shared" si="3"/>
        <v>-7.8737454264534296E-3</v>
      </c>
      <c r="E119" s="10">
        <f>PARAMETERS!$B$7*C119^PARAMETERS!$B$8</f>
        <v>16.839333396480704</v>
      </c>
      <c r="F119" s="13">
        <f>F118+E118+PARAMETERS!$B$14</f>
        <v>1856.4556155935936</v>
      </c>
      <c r="G119" s="4">
        <f>PARAMETERS!$B$9*F119</f>
        <v>4.0652312750224677</v>
      </c>
      <c r="H119" s="4">
        <f>MAX(PARAMETERS!$B$6,PARAMETERS!$B$6+PARAMETERS!$B$10*(G119-PARAMETERS!$B$11))</f>
        <v>6.8478469125337005E-2</v>
      </c>
      <c r="I119" s="4">
        <f>PARAMETERS!$B$4/BAU!H119</f>
        <v>1.0952347644151705</v>
      </c>
      <c r="L119" s="10"/>
      <c r="N119" s="135"/>
    </row>
    <row r="120" spans="1:20" ht="20.149999999999999" customHeight="1" x14ac:dyDescent="0.35">
      <c r="A120" s="1">
        <f t="shared" si="2"/>
        <v>2095</v>
      </c>
      <c r="B120" s="13">
        <f>B119+PARAMETERS!$B$5*C119-H119*B119</f>
        <v>3209.1894792414537</v>
      </c>
      <c r="C120" s="13">
        <f>B120*PARAMETERS!$B$4</f>
        <v>240.689210943109</v>
      </c>
      <c r="D120" s="4">
        <f t="shared" si="3"/>
        <v>-8.4784691253371423E-3</v>
      </c>
      <c r="E120" s="10">
        <f>PARAMETERS!$B$7*C120^PARAMETERS!$B$8</f>
        <v>16.763037187445555</v>
      </c>
      <c r="F120" s="13">
        <f>F119+E119+PARAMETERS!$B$14</f>
        <v>1874.7949489900743</v>
      </c>
      <c r="G120" s="4">
        <f>PARAMETERS!$B$9*F120</f>
        <v>4.1053903992483383</v>
      </c>
      <c r="H120" s="4">
        <f>MAX(PARAMETERS!$B$6,PARAMETERS!$B$6+PARAMETERS!$B$10*(G120-PARAMETERS!$B$11))</f>
        <v>6.9080855988725071E-2</v>
      </c>
      <c r="I120" s="4">
        <f>PARAMETERS!$B$4/BAU!H120</f>
        <v>1.0856842887447864</v>
      </c>
      <c r="L120" s="10"/>
      <c r="N120" s="135"/>
    </row>
    <row r="121" spans="1:20" ht="20.149999999999999" customHeight="1" x14ac:dyDescent="0.35">
      <c r="A121" s="1">
        <f t="shared" si="2"/>
        <v>2096</v>
      </c>
      <c r="B121" s="13">
        <f>B120+PARAMETERS!$B$5*C120-H120*B120</f>
        <v>3180.0472917399302</v>
      </c>
      <c r="C121" s="13">
        <f>B121*PARAMETERS!$B$4</f>
        <v>238.50354688049475</v>
      </c>
      <c r="D121" s="4">
        <f t="shared" si="3"/>
        <v>-9.0808559887251023E-3</v>
      </c>
      <c r="E121" s="10">
        <f>PARAMETERS!$B$7*C121^PARAMETERS!$B$8</f>
        <v>16.681678944113919</v>
      </c>
      <c r="F121" s="13">
        <f>F120+E120+PARAMETERS!$B$14</f>
        <v>1893.05798617752</v>
      </c>
      <c r="G121" s="4">
        <f>PARAMETERS!$B$9*F121</f>
        <v>4.1453824514836208</v>
      </c>
      <c r="H121" s="4">
        <f>MAX(PARAMETERS!$B$6,PARAMETERS!$B$6+PARAMETERS!$B$10*(G121-PARAMETERS!$B$11))</f>
        <v>6.9680736772254309E-2</v>
      </c>
      <c r="I121" s="4">
        <f>PARAMETERS!$B$4/BAU!H121</f>
        <v>1.0763376432877174</v>
      </c>
      <c r="L121" s="10"/>
      <c r="N121" s="135"/>
    </row>
    <row r="122" spans="1:20" ht="20.149999999999999" customHeight="1" x14ac:dyDescent="0.35">
      <c r="A122" s="1">
        <f t="shared" si="2"/>
        <v>2097</v>
      </c>
      <c r="B122" s="13">
        <f>B121+PARAMETERS!$B$5*C121-H121*B121</f>
        <v>3149.2620909852758</v>
      </c>
      <c r="C122" s="13">
        <f>B122*PARAMETERS!$B$4</f>
        <v>236.19465682389568</v>
      </c>
      <c r="D122" s="4">
        <f t="shared" si="3"/>
        <v>-9.6807367722542385E-3</v>
      </c>
      <c r="E122" s="10">
        <f>PARAMETERS!$B$7*C122^PARAMETERS!$B$8</f>
        <v>16.595354964611474</v>
      </c>
      <c r="F122" s="13">
        <f>F121+E121+PARAMETERS!$B$14</f>
        <v>1911.2396651216338</v>
      </c>
      <c r="G122" s="4">
        <f>PARAMETERS!$B$9*F122</f>
        <v>4.1851963469816802</v>
      </c>
      <c r="H122" s="4">
        <f>MAX(PARAMETERS!$B$6,PARAMETERS!$B$6+PARAMETERS!$B$10*(G122-PARAMETERS!$B$11))</f>
        <v>7.0277945204725203E-2</v>
      </c>
      <c r="I122" s="4">
        <f>PARAMETERS!$B$4/BAU!H122</f>
        <v>1.0671911334561515</v>
      </c>
      <c r="L122" s="10"/>
      <c r="N122" s="135"/>
    </row>
    <row r="123" spans="1:20" ht="20.149999999999999" customHeight="1" x14ac:dyDescent="0.35">
      <c r="A123" s="1">
        <f t="shared" si="2"/>
        <v>2098</v>
      </c>
      <c r="B123" s="13">
        <f>B122+PARAMETERS!$B$5*C122-H122*B122</f>
        <v>3116.8941477788107</v>
      </c>
      <c r="C123" s="13">
        <f>B123*PARAMETERS!$B$4</f>
        <v>233.76706108341079</v>
      </c>
      <c r="D123" s="4">
        <f t="shared" si="3"/>
        <v>-1.027794520472527E-2</v>
      </c>
      <c r="E123" s="10">
        <f>PARAMETERS!$B$7*C123^PARAMETERS!$B$8</f>
        <v>16.504167088857397</v>
      </c>
      <c r="F123" s="13">
        <f>F122+E122+PARAMETERS!$B$14</f>
        <v>1929.3350200862453</v>
      </c>
      <c r="G123" s="4">
        <f>PARAMETERS!$B$9*F123</f>
        <v>4.2248212118676909</v>
      </c>
      <c r="H123" s="4">
        <f>MAX(PARAMETERS!$B$6,PARAMETERS!$B$6+PARAMETERS!$B$10*(G123-PARAMETERS!$B$11))</f>
        <v>7.087231817801537E-2</v>
      </c>
      <c r="I123" s="4">
        <f>PARAMETERS!$B$4/BAU!H123</f>
        <v>1.0582411007301442</v>
      </c>
      <c r="L123" s="10"/>
      <c r="N123" s="135"/>
    </row>
    <row r="124" spans="1:20" ht="20.149999999999999" customHeight="1" x14ac:dyDescent="0.35">
      <c r="A124" s="1">
        <f t="shared" si="2"/>
        <v>2099</v>
      </c>
      <c r="B124" s="13">
        <f>B123+PARAMETERS!$B$5*C123-H123*B123</f>
        <v>3083.0062828769655</v>
      </c>
      <c r="C124" s="13">
        <f>B124*PARAMETERS!$B$4</f>
        <v>231.22547121577242</v>
      </c>
      <c r="D124" s="4">
        <f t="shared" si="3"/>
        <v>-1.0872318178015296E-2</v>
      </c>
      <c r="E124" s="10">
        <f>PARAMETERS!$B$7*C124^PARAMETERS!$B$8</f>
        <v>16.408222446260837</v>
      </c>
      <c r="F124" s="13">
        <f>F123+E123+PARAMETERS!$B$14</f>
        <v>1947.3391871751028</v>
      </c>
      <c r="G124" s="4">
        <f>PARAMETERS!$B$9*F124</f>
        <v>4.2642463952739478</v>
      </c>
      <c r="H124" s="4">
        <f>MAX(PARAMETERS!$B$6,PARAMETERS!$B$6+PARAMETERS!$B$10*(G124-PARAMETERS!$B$11))</f>
        <v>7.1463695929109214E-2</v>
      </c>
      <c r="I124" s="4">
        <f>PARAMETERS!$B$4/BAU!H124</f>
        <v>1.0494839236190463</v>
      </c>
      <c r="L124" s="10"/>
      <c r="N124" s="135"/>
    </row>
    <row r="125" spans="1:20" s="6" customFormat="1" ht="20.25" customHeight="1" x14ac:dyDescent="0.35">
      <c r="A125" s="1">
        <f t="shared" si="2"/>
        <v>2100</v>
      </c>
      <c r="B125" s="13">
        <f>B124+PARAMETERS!$B$5*C124-H124*B124</f>
        <v>3047.6636363025309</v>
      </c>
      <c r="C125" s="13">
        <f>B125*PARAMETERS!$B$4</f>
        <v>228.5747727226898</v>
      </c>
      <c r="D125" s="4">
        <f t="shared" si="3"/>
        <v>-1.1463695929109235E-2</v>
      </c>
      <c r="E125" s="10">
        <f>PARAMETERS!$B$7*C125^PARAMETERS!$B$8</f>
        <v>16.307633192190735</v>
      </c>
      <c r="F125" s="13">
        <f>F124+E124+PARAMETERS!$B$14</f>
        <v>1965.2474096213637</v>
      </c>
      <c r="G125" s="4">
        <f>PARAMETERS!$B$9*F125</f>
        <v>4.3034614809226941</v>
      </c>
      <c r="H125" s="4">
        <f>MAX(PARAMETERS!$B$6,PARAMETERS!$B$6+PARAMETERS!$B$10*(G125-PARAMETERS!$B$11))</f>
        <v>7.2051922213840408E-2</v>
      </c>
      <c r="I125" s="4">
        <f>PARAMETERS!$B$4/BAU!H125</f>
        <v>1.0409160185540933</v>
      </c>
      <c r="J125" s="53"/>
      <c r="L125" s="10"/>
      <c r="M125" s="1"/>
      <c r="N125" s="135"/>
      <c r="O125" s="1"/>
      <c r="P125" s="1"/>
      <c r="Q125" s="1"/>
    </row>
    <row r="126" spans="1:20" ht="20.149999999999999" customHeight="1" x14ac:dyDescent="0.35"/>
    <row r="127" spans="1:20" ht="20.149999999999999" customHeight="1" x14ac:dyDescent="0.35"/>
    <row r="128" spans="1:20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  <row r="149" ht="20.149999999999999" customHeight="1" x14ac:dyDescent="0.35"/>
    <row r="150" ht="20.149999999999999" customHeight="1" x14ac:dyDescent="0.35"/>
    <row r="151" ht="20.149999999999999" customHeight="1" x14ac:dyDescent="0.35"/>
    <row r="152" ht="20.149999999999999" customHeight="1" x14ac:dyDescent="0.35"/>
    <row r="153" ht="20.149999999999999" customHeight="1" x14ac:dyDescent="0.35"/>
    <row r="154" ht="20.149999999999999" customHeight="1" x14ac:dyDescent="0.35"/>
    <row r="155" ht="20.149999999999999" customHeight="1" x14ac:dyDescent="0.35"/>
    <row r="156" ht="20.149999999999999" customHeight="1" x14ac:dyDescent="0.35"/>
    <row r="157" ht="20.149999999999999" customHeight="1" x14ac:dyDescent="0.35"/>
    <row r="158" ht="20.149999999999999" customHeight="1" x14ac:dyDescent="0.35"/>
    <row r="159" ht="20.149999999999999" customHeight="1" x14ac:dyDescent="0.35"/>
    <row r="160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spans="12:17" ht="20.149999999999999" customHeight="1" x14ac:dyDescent="0.35"/>
    <row r="178" spans="12:17" ht="20.149999999999999" customHeight="1" x14ac:dyDescent="0.35"/>
    <row r="179" spans="12:17" ht="20.149999999999999" customHeight="1" x14ac:dyDescent="0.35"/>
    <row r="180" spans="12:17" ht="20.149999999999999" customHeight="1" x14ac:dyDescent="0.35"/>
    <row r="181" spans="12:17" ht="20.149999999999999" customHeight="1" x14ac:dyDescent="0.35"/>
    <row r="182" spans="12:17" ht="20.149999999999999" customHeight="1" x14ac:dyDescent="0.35"/>
    <row r="183" spans="12:17" ht="20.149999999999999" customHeight="1" x14ac:dyDescent="0.35"/>
    <row r="184" spans="12:17" ht="20.149999999999999" customHeight="1" x14ac:dyDescent="0.35"/>
    <row r="185" spans="12:17" ht="20.149999999999999" customHeight="1" x14ac:dyDescent="0.35"/>
    <row r="186" spans="12:17" ht="20.149999999999999" customHeight="1" x14ac:dyDescent="0.35"/>
    <row r="187" spans="12:17" ht="20.149999999999999" customHeight="1" x14ac:dyDescent="0.35"/>
    <row r="188" spans="12:17" ht="20.149999999999999" customHeight="1" x14ac:dyDescent="0.35">
      <c r="L188" s="6"/>
      <c r="M188" s="6"/>
      <c r="N188" s="12"/>
      <c r="O188" s="6"/>
      <c r="P188" s="6"/>
      <c r="Q188" s="6"/>
    </row>
    <row r="189" spans="12:17" ht="20.149999999999999" customHeight="1" x14ac:dyDescent="0.35">
      <c r="L189" s="6"/>
      <c r="M189" s="6"/>
      <c r="N189" s="12"/>
      <c r="O189" s="6"/>
      <c r="P189" s="6"/>
      <c r="Q189" s="6"/>
    </row>
    <row r="190" spans="12:17" ht="20.149999999999999" customHeight="1" x14ac:dyDescent="0.35"/>
    <row r="191" spans="12:17" ht="20.149999999999999" customHeight="1" x14ac:dyDescent="0.35"/>
    <row r="192" spans="12:17" ht="20.149999999999999" customHeight="1" x14ac:dyDescent="0.35"/>
    <row r="193" spans="2:17" ht="20.149999999999999" customHeight="1" x14ac:dyDescent="0.35"/>
    <row r="194" spans="2:17" ht="20.149999999999999" customHeight="1" x14ac:dyDescent="0.35"/>
    <row r="195" spans="2:17" ht="20.149999999999999" customHeight="1" x14ac:dyDescent="0.35"/>
    <row r="196" spans="2:17" ht="20.149999999999999" customHeight="1" x14ac:dyDescent="0.35"/>
    <row r="197" spans="2:17" ht="20.149999999999999" customHeight="1" x14ac:dyDescent="0.35"/>
    <row r="198" spans="2:17" ht="20.149999999999999" customHeight="1" x14ac:dyDescent="0.35"/>
    <row r="199" spans="2:17" ht="20.149999999999999" customHeight="1" x14ac:dyDescent="0.35"/>
    <row r="200" spans="2:17" ht="20.149999999999999" customHeight="1" x14ac:dyDescent="0.35"/>
    <row r="201" spans="2:17" ht="20.149999999999999" customHeight="1" x14ac:dyDescent="0.35"/>
    <row r="202" spans="2:17" ht="20.149999999999999" customHeight="1" x14ac:dyDescent="0.35"/>
    <row r="203" spans="2:17" ht="20.149999999999999" customHeight="1" x14ac:dyDescent="0.35"/>
    <row r="204" spans="2:17" s="6" customFormat="1" ht="20.149999999999999" customHeight="1" x14ac:dyDescent="0.35">
      <c r="B204" s="23"/>
      <c r="C204" s="13"/>
      <c r="D204" s="4"/>
      <c r="E204" s="10"/>
      <c r="F204" s="13"/>
      <c r="G204" s="4"/>
      <c r="H204" s="4"/>
      <c r="I204" s="4"/>
      <c r="J204" s="53"/>
      <c r="L204" s="1"/>
      <c r="M204" s="1"/>
      <c r="N204" s="5"/>
      <c r="O204" s="1"/>
      <c r="P204" s="1"/>
      <c r="Q204" s="1"/>
    </row>
    <row r="205" spans="2:17" s="6" customFormat="1" ht="20.149999999999999" customHeight="1" x14ac:dyDescent="0.35">
      <c r="B205" s="23"/>
      <c r="C205" s="13"/>
      <c r="D205" s="4"/>
      <c r="E205" s="10"/>
      <c r="F205" s="13"/>
      <c r="G205" s="4"/>
      <c r="H205" s="4"/>
      <c r="I205" s="4"/>
      <c r="J205" s="53"/>
      <c r="L205" s="1"/>
      <c r="M205" s="1"/>
      <c r="N205" s="5"/>
      <c r="O205" s="1"/>
      <c r="P205" s="1"/>
      <c r="Q205" s="1"/>
    </row>
    <row r="206" spans="2:17" ht="20.149999999999999" customHeight="1" x14ac:dyDescent="0.35"/>
    <row r="207" spans="2:17" ht="20.149999999999999" customHeight="1" x14ac:dyDescent="0.35"/>
    <row r="208" spans="2:17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9"/>
  <sheetViews>
    <sheetView zoomScale="90" zoomScaleNormal="90" workbookViewId="0">
      <pane ySplit="5" topLeftCell="A6" activePane="bottomLeft" state="frozen"/>
      <selection pane="bottomLeft" activeCell="U78" sqref="U78"/>
    </sheetView>
  </sheetViews>
  <sheetFormatPr defaultColWidth="9.1796875" defaultRowHeight="14.5" x14ac:dyDescent="0.35"/>
  <cols>
    <col min="1" max="1" width="10.26953125" style="1" customWidth="1"/>
    <col min="2" max="2" width="1.26953125" style="39" customWidth="1"/>
    <col min="3" max="3" width="10.26953125" style="13" customWidth="1"/>
    <col min="4" max="4" width="13.1796875" style="13" customWidth="1"/>
    <col min="5" max="5" width="12.54296875" style="36" customWidth="1"/>
    <col min="6" max="6" width="1.26953125" style="43" customWidth="1"/>
    <col min="7" max="8" width="13.26953125" style="13" customWidth="1"/>
    <col min="9" max="9" width="13.26953125" style="8" customWidth="1"/>
    <col min="10" max="10" width="1.1796875" style="39" customWidth="1"/>
    <col min="11" max="12" width="14.1796875" style="6" customWidth="1"/>
    <col min="13" max="13" width="14.1796875" style="133" customWidth="1"/>
    <col min="14" max="14" width="14.54296875" style="10" customWidth="1"/>
    <col min="15" max="15" width="14" style="13" customWidth="1"/>
    <col min="16" max="16" width="14.26953125" style="4" customWidth="1"/>
    <col min="17" max="17" width="13.26953125" style="8" customWidth="1"/>
    <col min="18" max="18" width="13.26953125" style="155" customWidth="1"/>
    <col min="19" max="19" width="1.26953125" style="47" customWidth="1"/>
    <col min="20" max="20" width="13.453125" style="1" customWidth="1"/>
    <col min="21" max="21" width="12" style="1" bestFit="1" customWidth="1"/>
    <col min="22" max="22" width="16.453125" style="5" customWidth="1"/>
    <col min="23" max="23" width="50.7265625" style="1" customWidth="1"/>
    <col min="24" max="24" width="9" style="1" customWidth="1"/>
    <col min="25" max="25" width="34" style="1" customWidth="1"/>
    <col min="26" max="16384" width="9.1796875" style="1"/>
  </cols>
  <sheetData>
    <row r="1" spans="1:25" ht="20.149999999999999" customHeight="1" x14ac:dyDescent="0.35">
      <c r="A1" s="160" t="s">
        <v>104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52"/>
      <c r="S1" s="47">
        <v>2.8072027719279791</v>
      </c>
    </row>
    <row r="2" spans="1:25" ht="20.149999999999999" customHeight="1" x14ac:dyDescent="0.35">
      <c r="A2" s="160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52"/>
      <c r="S2" s="48"/>
      <c r="T2" s="160" t="s">
        <v>49</v>
      </c>
      <c r="U2" s="161"/>
      <c r="V2" s="161"/>
      <c r="W2" s="164"/>
      <c r="X2" s="31"/>
    </row>
    <row r="3" spans="1:25" ht="23.25" customHeight="1" x14ac:dyDescent="0.35">
      <c r="B3" s="41"/>
      <c r="C3" s="160" t="s">
        <v>29</v>
      </c>
      <c r="D3" s="161"/>
      <c r="E3" s="164"/>
      <c r="F3" s="41"/>
      <c r="G3" s="158" t="s">
        <v>18</v>
      </c>
      <c r="H3" s="158"/>
      <c r="I3" s="158"/>
      <c r="J3" s="41"/>
      <c r="K3" s="160" t="s">
        <v>19</v>
      </c>
      <c r="L3" s="161"/>
      <c r="M3" s="161"/>
      <c r="N3" s="161"/>
      <c r="O3" s="161"/>
      <c r="P3" s="161"/>
      <c r="Q3" s="161"/>
      <c r="R3" s="152"/>
    </row>
    <row r="4" spans="1:25" s="19" customFormat="1" ht="48" customHeight="1" x14ac:dyDescent="0.35">
      <c r="A4" s="16" t="s">
        <v>9</v>
      </c>
      <c r="B4" s="40"/>
      <c r="C4" s="24" t="s">
        <v>21</v>
      </c>
      <c r="D4" s="24" t="s">
        <v>13</v>
      </c>
      <c r="E4" s="18" t="s">
        <v>16</v>
      </c>
      <c r="F4" s="44"/>
      <c r="G4" s="24" t="s">
        <v>21</v>
      </c>
      <c r="H4" s="24" t="s">
        <v>13</v>
      </c>
      <c r="I4" s="18" t="s">
        <v>16</v>
      </c>
      <c r="J4" s="46"/>
      <c r="K4" s="24" t="s">
        <v>21</v>
      </c>
      <c r="L4" s="24" t="s">
        <v>13</v>
      </c>
      <c r="M4" s="131" t="s">
        <v>16</v>
      </c>
      <c r="N4" s="26" t="s">
        <v>10</v>
      </c>
      <c r="O4" s="27" t="s">
        <v>11</v>
      </c>
      <c r="P4" s="17" t="s">
        <v>12</v>
      </c>
      <c r="Q4" s="18" t="s">
        <v>15</v>
      </c>
      <c r="R4" s="153" t="s">
        <v>158</v>
      </c>
      <c r="S4" s="49"/>
    </row>
    <row r="5" spans="1:25" s="20" customFormat="1" ht="20.149999999999999" customHeight="1" x14ac:dyDescent="0.35">
      <c r="B5" s="42"/>
      <c r="C5" s="25" t="s">
        <v>22</v>
      </c>
      <c r="D5" s="25" t="s">
        <v>23</v>
      </c>
      <c r="E5" s="14" t="s">
        <v>28</v>
      </c>
      <c r="F5" s="45"/>
      <c r="G5" s="25" t="s">
        <v>22</v>
      </c>
      <c r="H5" s="25" t="s">
        <v>23</v>
      </c>
      <c r="I5" s="14" t="s">
        <v>28</v>
      </c>
      <c r="J5" s="41"/>
      <c r="K5" s="25" t="s">
        <v>22</v>
      </c>
      <c r="L5" s="25" t="s">
        <v>23</v>
      </c>
      <c r="M5" s="132" t="s">
        <v>28</v>
      </c>
      <c r="N5" s="15" t="s">
        <v>14</v>
      </c>
      <c r="O5" s="25" t="s">
        <v>26</v>
      </c>
      <c r="P5" s="22" t="s">
        <v>27</v>
      </c>
      <c r="Q5" s="14" t="s">
        <v>24</v>
      </c>
      <c r="R5" s="154"/>
      <c r="S5" s="50"/>
      <c r="T5" s="1"/>
      <c r="U5" s="1"/>
      <c r="V5" s="5"/>
      <c r="W5" s="1"/>
      <c r="X5" s="1"/>
      <c r="Y5" s="1"/>
    </row>
    <row r="6" spans="1:25" ht="20.149999999999999" customHeight="1" x14ac:dyDescent="0.35">
      <c r="A6" s="1">
        <v>2020</v>
      </c>
      <c r="E6" s="37"/>
      <c r="I6" s="11"/>
      <c r="J6" s="38"/>
      <c r="K6" s="112">
        <f>BAU!B45</f>
        <v>1223.2641719996527</v>
      </c>
      <c r="L6" s="112"/>
      <c r="O6" s="13">
        <f>BAU!F45</f>
        <v>638.51994328061562</v>
      </c>
    </row>
    <row r="7" spans="1:25" ht="20.149999999999999" customHeight="1" x14ac:dyDescent="0.35">
      <c r="A7" s="162" t="s">
        <v>115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56"/>
    </row>
    <row r="8" spans="1:25" ht="20.149999999999999" customHeight="1" x14ac:dyDescent="0.35">
      <c r="A8" s="1">
        <v>2020</v>
      </c>
      <c r="C8" s="13">
        <f>K6*0.8</f>
        <v>978.61133759972222</v>
      </c>
      <c r="D8" s="13">
        <f>PARAMETERS!$B$4*C8</f>
        <v>73.395850319979161</v>
      </c>
      <c r="E8" s="37"/>
      <c r="G8" s="13">
        <f>K6*0.2</f>
        <v>244.65283439993055</v>
      </c>
      <c r="H8" s="13">
        <f>PARAMETERS!$B$4*G8</f>
        <v>18.34896257999479</v>
      </c>
      <c r="I8" s="11"/>
      <c r="J8" s="38"/>
      <c r="K8" s="112">
        <f>C8+G8</f>
        <v>1223.2641719996527</v>
      </c>
      <c r="L8" s="112">
        <f>D8+H8</f>
        <v>91.744812899973951</v>
      </c>
      <c r="N8" s="10">
        <f>PARAMETERS!$B$15*D8</f>
        <v>10.021959724041816</v>
      </c>
      <c r="O8" s="13">
        <f>O6</f>
        <v>638.51994328061562</v>
      </c>
      <c r="P8" s="4">
        <f>PARAMETERS!$B$9*O8</f>
        <v>1.3982188538991585</v>
      </c>
      <c r="Q8" s="8">
        <f>MAX(PARAMETERS!$B$6,PARAMETERS!$B$6+PARAMETERS!$B$10*(P8-PARAMETERS!$B$11))</f>
        <v>0.03</v>
      </c>
      <c r="R8" s="155">
        <f>PARAMETERS!$B$4/DECARBONISATION!Q8</f>
        <v>2.5</v>
      </c>
    </row>
    <row r="9" spans="1:25" ht="20.149999999999999" customHeight="1" x14ac:dyDescent="0.35">
      <c r="A9" s="1">
        <v>2021</v>
      </c>
      <c r="C9" s="13">
        <f>C8-Q8*C8</f>
        <v>949.25299747173051</v>
      </c>
      <c r="D9" s="13">
        <f>PARAMETERS!$B$4*C9</f>
        <v>71.193974810379785</v>
      </c>
      <c r="E9" s="37">
        <f>(D9-D8)/D8</f>
        <v>-3.0000000000000009E-2</v>
      </c>
      <c r="G9" s="13">
        <f>G8+PARAMETERS!$B$5*L8-Q8*G8</f>
        <v>310.70909968791182</v>
      </c>
      <c r="H9" s="13">
        <f>PARAMETERS!$B$4*G9</f>
        <v>23.303182476593385</v>
      </c>
      <c r="I9" s="11">
        <f>(H9-H8)/H8</f>
        <v>0.27000000000000007</v>
      </c>
      <c r="J9" s="38"/>
      <c r="K9" s="112">
        <f>C9+G9</f>
        <v>1259.9620971596423</v>
      </c>
      <c r="L9" s="112">
        <f>D9+H9</f>
        <v>94.497157286973163</v>
      </c>
      <c r="M9" s="133">
        <f>(L9-L8)/L8</f>
        <v>2.999999999999993E-2</v>
      </c>
      <c r="N9" s="10">
        <f>PARAMETERS!$B$15*D9</f>
        <v>9.7213009323205615</v>
      </c>
      <c r="O9" s="13">
        <f>N8+O8</f>
        <v>648.54190300465746</v>
      </c>
      <c r="P9" s="4">
        <f>PARAMETERS!$B$9*O9</f>
        <v>1.4201647511050894</v>
      </c>
      <c r="Q9" s="8">
        <f>MAX(PARAMETERS!$B$6,PARAMETERS!$B$6+PARAMETERS!$B$10*(P9-PARAMETERS!$B$11))</f>
        <v>0.03</v>
      </c>
      <c r="R9" s="155">
        <f>PARAMETERS!$B$4/DECARBONISATION!Q9</f>
        <v>2.5</v>
      </c>
    </row>
    <row r="10" spans="1:25" ht="20.149999999999999" customHeight="1" x14ac:dyDescent="0.35">
      <c r="A10" s="1">
        <v>2022</v>
      </c>
      <c r="C10" s="13">
        <f t="shared" ref="C10:C73" si="0">C9-Q9*C9</f>
        <v>920.77540754757865</v>
      </c>
      <c r="D10" s="13">
        <f>PARAMETERS!$B$4*C10</f>
        <v>69.058155566068393</v>
      </c>
      <c r="E10" s="37">
        <f t="shared" ref="E10:E73" si="1">(D10-D9)/D9</f>
        <v>-2.9999999999999982E-2</v>
      </c>
      <c r="G10" s="13">
        <f>G9+PARAMETERS!$B$5*L9-Q9*G9</f>
        <v>376.98555252685298</v>
      </c>
      <c r="H10" s="13">
        <f>PARAMETERS!$B$4*G10</f>
        <v>28.273916439513972</v>
      </c>
      <c r="I10" s="11">
        <f t="shared" ref="I10:I73" si="2">(H10-H9)/H9</f>
        <v>0.21330708661417314</v>
      </c>
      <c r="J10" s="38"/>
      <c r="K10" s="112">
        <f t="shared" ref="K10:K73" si="3">C10+G10</f>
        <v>1297.7609600744318</v>
      </c>
      <c r="L10" s="112">
        <f t="shared" ref="L10:L73" si="4">D10+H10</f>
        <v>97.332072005582361</v>
      </c>
      <c r="M10" s="133">
        <f t="shared" ref="M10:M73" si="5">(L10-L9)/L9</f>
        <v>3.0000000000000037E-2</v>
      </c>
      <c r="N10" s="10">
        <f>PARAMETERS!$B$15*D10</f>
        <v>9.4296619043509455</v>
      </c>
      <c r="O10" s="13">
        <f t="shared" ref="O10:O73" si="6">N9+O9</f>
        <v>658.26320393697802</v>
      </c>
      <c r="P10" s="4">
        <f>PARAMETERS!$B$9*O10</f>
        <v>1.4414522713948426</v>
      </c>
      <c r="Q10" s="8">
        <f>MAX(PARAMETERS!$B$6,PARAMETERS!$B$6+PARAMETERS!$B$10*(P10-PARAMETERS!$B$11))</f>
        <v>0.03</v>
      </c>
      <c r="R10" s="155">
        <f>PARAMETERS!$B$4/DECARBONISATION!Q10</f>
        <v>2.5</v>
      </c>
    </row>
    <row r="11" spans="1:25" ht="20.149999999999999" customHeight="1" x14ac:dyDescent="0.35">
      <c r="A11" s="1">
        <v>2023</v>
      </c>
      <c r="C11" s="13">
        <f t="shared" si="0"/>
        <v>893.15214532115124</v>
      </c>
      <c r="D11" s="13">
        <f>PARAMETERS!$B$4*C11</f>
        <v>66.986410899086337</v>
      </c>
      <c r="E11" s="37">
        <f t="shared" si="1"/>
        <v>-3.0000000000000061E-2</v>
      </c>
      <c r="G11" s="13">
        <f>G10+PARAMETERS!$B$5*L10-Q10*G10</f>
        <v>443.5416435555133</v>
      </c>
      <c r="H11" s="13">
        <f>PARAMETERS!$B$4*G11</f>
        <v>33.265623266663496</v>
      </c>
      <c r="I11" s="11">
        <f t="shared" si="2"/>
        <v>0.17654812122785393</v>
      </c>
      <c r="J11" s="38"/>
      <c r="K11" s="112">
        <f t="shared" si="3"/>
        <v>1336.6937888766645</v>
      </c>
      <c r="L11" s="112">
        <f t="shared" si="4"/>
        <v>100.25203416574983</v>
      </c>
      <c r="M11" s="133">
        <f t="shared" si="5"/>
        <v>3.0000000000000013E-2</v>
      </c>
      <c r="N11" s="10">
        <f>PARAMETERS!$B$15*D11</f>
        <v>9.1467720472204164</v>
      </c>
      <c r="O11" s="13">
        <f t="shared" si="6"/>
        <v>667.69286584132897</v>
      </c>
      <c r="P11" s="4">
        <f>PARAMETERS!$B$9*O11</f>
        <v>1.4621011660759029</v>
      </c>
      <c r="Q11" s="8">
        <f>MAX(PARAMETERS!$B$6,PARAMETERS!$B$6+PARAMETERS!$B$10*(P11-PARAMETERS!$B$11))</f>
        <v>0.03</v>
      </c>
      <c r="R11" s="155">
        <f>PARAMETERS!$B$4/DECARBONISATION!Q11</f>
        <v>2.5</v>
      </c>
    </row>
    <row r="12" spans="1:25" ht="20.149999999999999" customHeight="1" x14ac:dyDescent="0.35">
      <c r="A12" s="1">
        <v>2024</v>
      </c>
      <c r="C12" s="13">
        <f t="shared" si="0"/>
        <v>866.35758096151676</v>
      </c>
      <c r="D12" s="13">
        <f>PARAMETERS!$B$4*C12</f>
        <v>64.976818572113757</v>
      </c>
      <c r="E12" s="37">
        <f t="shared" si="1"/>
        <v>-2.9999999999999853E-2</v>
      </c>
      <c r="G12" s="13">
        <f>G11+PARAMETERS!$B$5*L11-Q11*G11</f>
        <v>510.43702158144782</v>
      </c>
      <c r="H12" s="13">
        <f>PARAMETERS!$B$4*G12</f>
        <v>38.282776618608587</v>
      </c>
      <c r="I12" s="11">
        <f t="shared" si="2"/>
        <v>0.15082096348313226</v>
      </c>
      <c r="J12" s="38"/>
      <c r="K12" s="112">
        <f t="shared" si="3"/>
        <v>1376.7946025429646</v>
      </c>
      <c r="L12" s="112">
        <f t="shared" si="4"/>
        <v>103.25959519072234</v>
      </c>
      <c r="M12" s="133">
        <f t="shared" si="5"/>
        <v>3.0000000000000082E-2</v>
      </c>
      <c r="N12" s="10">
        <f>PARAMETERS!$B$15*D12</f>
        <v>8.8723688858038052</v>
      </c>
      <c r="O12" s="13">
        <f t="shared" si="6"/>
        <v>676.83963788854942</v>
      </c>
      <c r="P12" s="4">
        <f>PARAMETERS!$B$9*O12</f>
        <v>1.4821305939165317</v>
      </c>
      <c r="Q12" s="8">
        <f>MAX(PARAMETERS!$B$6,PARAMETERS!$B$6+PARAMETERS!$B$10*(P12-PARAMETERS!$B$11))</f>
        <v>0.03</v>
      </c>
      <c r="R12" s="155">
        <f>PARAMETERS!$B$4/DECARBONISATION!Q12</f>
        <v>2.5</v>
      </c>
    </row>
    <row r="13" spans="1:25" ht="20.149999999999999" customHeight="1" x14ac:dyDescent="0.35">
      <c r="A13" s="1">
        <v>2025</v>
      </c>
      <c r="C13" s="13">
        <f t="shared" si="0"/>
        <v>840.36685353267126</v>
      </c>
      <c r="D13" s="13">
        <f>PARAMETERS!$B$4*C13</f>
        <v>63.027514014950341</v>
      </c>
      <c r="E13" s="37">
        <f t="shared" si="1"/>
        <v>-3.0000000000000044E-2</v>
      </c>
      <c r="G13" s="13">
        <f>G12+PARAMETERS!$B$5*L12-Q12*G12</f>
        <v>577.73158708658229</v>
      </c>
      <c r="H13" s="13">
        <f>PARAMETERS!$B$4*G13</f>
        <v>43.329869031493672</v>
      </c>
      <c r="I13" s="11">
        <f t="shared" si="2"/>
        <v>0.13183715651470751</v>
      </c>
      <c r="J13" s="38"/>
      <c r="K13" s="112">
        <f t="shared" si="3"/>
        <v>1418.0984406192536</v>
      </c>
      <c r="L13" s="112">
        <f t="shared" si="4"/>
        <v>106.35738304644401</v>
      </c>
      <c r="M13" s="133">
        <f t="shared" si="5"/>
        <v>3.0000000000000065E-2</v>
      </c>
      <c r="N13" s="10">
        <f>PARAMETERS!$B$15*D13</f>
        <v>8.6061978192296902</v>
      </c>
      <c r="O13" s="13">
        <f t="shared" si="6"/>
        <v>685.7120067743532</v>
      </c>
      <c r="P13" s="4">
        <f>PARAMETERS!$B$9*O13</f>
        <v>1.5015591389219414</v>
      </c>
      <c r="Q13" s="8">
        <f>MAX(PARAMETERS!$B$6,PARAMETERS!$B$6+PARAMETERS!$B$10*(P13-PARAMETERS!$B$11))</f>
        <v>3.0023387083829119E-2</v>
      </c>
      <c r="R13" s="155">
        <f>PARAMETERS!$B$4/DECARBONISATION!Q13</f>
        <v>2.4980525944854404</v>
      </c>
    </row>
    <row r="14" spans="1:25" ht="20.149999999999999" customHeight="1" x14ac:dyDescent="0.35">
      <c r="A14" s="1">
        <v>2026</v>
      </c>
      <c r="C14" s="13">
        <f t="shared" si="0"/>
        <v>815.1361941966403</v>
      </c>
      <c r="D14" s="13">
        <f>PARAMETERS!$B$4*C14</f>
        <v>61.135214564748019</v>
      </c>
      <c r="E14" s="37">
        <f t="shared" si="1"/>
        <v>-3.0023387083829185E-2</v>
      </c>
      <c r="G14" s="13">
        <f>G13+PARAMETERS!$B$5*L13-Q13*G13</f>
        <v>645.47203445408218</v>
      </c>
      <c r="H14" s="13">
        <f>PARAMETERS!$B$4*G14</f>
        <v>48.410402584056165</v>
      </c>
      <c r="I14" s="11">
        <f t="shared" si="2"/>
        <v>0.1172524557798636</v>
      </c>
      <c r="J14" s="38"/>
      <c r="K14" s="112">
        <f t="shared" si="3"/>
        <v>1460.6082286507226</v>
      </c>
      <c r="L14" s="112">
        <f t="shared" si="4"/>
        <v>109.54561714880418</v>
      </c>
      <c r="M14" s="133">
        <f t="shared" si="5"/>
        <v>2.9976612916170903E-2</v>
      </c>
      <c r="N14" s="10">
        <f>PARAMETERS!$B$15*D14</f>
        <v>8.3478106107829504</v>
      </c>
      <c r="O14" s="13">
        <f t="shared" si="6"/>
        <v>694.31820459358289</v>
      </c>
      <c r="P14" s="4">
        <f>PARAMETERS!$B$9*O14</f>
        <v>1.5204048275771889</v>
      </c>
      <c r="Q14" s="8">
        <f>MAX(PARAMETERS!$B$6,PARAMETERS!$B$6+PARAMETERS!$B$10*(P14-PARAMETERS!$B$11))</f>
        <v>3.0306072413657834E-2</v>
      </c>
      <c r="R14" s="155">
        <f>PARAMETERS!$B$4/DECARBONISATION!Q14</f>
        <v>2.4747515605552453</v>
      </c>
    </row>
    <row r="15" spans="1:25" ht="20.149999999999999" customHeight="1" x14ac:dyDescent="0.35">
      <c r="A15" s="1">
        <v>2027</v>
      </c>
      <c r="C15" s="13">
        <f t="shared" si="0"/>
        <v>790.43261766832347</v>
      </c>
      <c r="D15" s="13">
        <f>PARAMETERS!$B$4*C15</f>
        <v>59.282446325124255</v>
      </c>
      <c r="E15" s="37">
        <f t="shared" si="1"/>
        <v>-3.0306072413657854E-2</v>
      </c>
      <c r="G15" s="13">
        <f>G14+PARAMETERS!$B$5*L14-Q14*G14</f>
        <v>713.54680595596903</v>
      </c>
      <c r="H15" s="13">
        <f>PARAMETERS!$B$4*G15</f>
        <v>53.516010446697678</v>
      </c>
      <c r="I15" s="11">
        <f t="shared" si="2"/>
        <v>0.10546509820438947</v>
      </c>
      <c r="J15" s="38"/>
      <c r="K15" s="112">
        <f t="shared" si="3"/>
        <v>1503.9794236242924</v>
      </c>
      <c r="L15" s="112">
        <f t="shared" si="4"/>
        <v>112.79845677182193</v>
      </c>
      <c r="M15" s="133">
        <f t="shared" si="5"/>
        <v>2.9693927586342123E-2</v>
      </c>
      <c r="N15" s="10">
        <f>PARAMETERS!$B$15*D15</f>
        <v>8.0948212579170615</v>
      </c>
      <c r="O15" s="13">
        <f t="shared" si="6"/>
        <v>702.66601520436586</v>
      </c>
      <c r="P15" s="4">
        <f>PARAMETERS!$B$9*O15</f>
        <v>1.5386847048270786</v>
      </c>
      <c r="Q15" s="8">
        <f>MAX(PARAMETERS!$B$6,PARAMETERS!$B$6+PARAMETERS!$B$10*(P15-PARAMETERS!$B$11))</f>
        <v>3.0580270572406178E-2</v>
      </c>
      <c r="R15" s="155">
        <f>PARAMETERS!$B$4/DECARBONISATION!Q15</f>
        <v>2.4525616875239669</v>
      </c>
    </row>
    <row r="16" spans="1:25" ht="20.149999999999999" customHeight="1" x14ac:dyDescent="0.35">
      <c r="A16" s="1">
        <v>2028</v>
      </c>
      <c r="C16" s="13">
        <f t="shared" si="0"/>
        <v>766.26097435077088</v>
      </c>
      <c r="D16" s="13">
        <f>PARAMETERS!$B$4*C16</f>
        <v>57.469573076307817</v>
      </c>
      <c r="E16" s="37">
        <f t="shared" si="1"/>
        <v>-3.0580270572406032E-2</v>
      </c>
      <c r="G16" s="13">
        <f>G15+PARAMETERS!$B$5*L15-Q15*G15</f>
        <v>781.96511698121685</v>
      </c>
      <c r="H16" s="13">
        <f>PARAMETERS!$B$4*G16</f>
        <v>58.647383773591258</v>
      </c>
      <c r="I16" s="11">
        <f t="shared" si="2"/>
        <v>9.5884825570180812E-2</v>
      </c>
      <c r="J16" s="38"/>
      <c r="K16" s="112">
        <f t="shared" si="3"/>
        <v>1548.2260913319878</v>
      </c>
      <c r="L16" s="112">
        <f t="shared" si="4"/>
        <v>116.11695684989908</v>
      </c>
      <c r="M16" s="133">
        <f t="shared" si="5"/>
        <v>2.9419729427593921E-2</v>
      </c>
      <c r="N16" s="10">
        <f>PARAMETERS!$B$15*D16</f>
        <v>7.8472794336146929</v>
      </c>
      <c r="O16" s="13">
        <f t="shared" si="6"/>
        <v>710.7608364622829</v>
      </c>
      <c r="P16" s="4">
        <f>PARAMETERS!$B$9*O16</f>
        <v>1.5564105907933203</v>
      </c>
      <c r="Q16" s="8">
        <f>MAX(PARAMETERS!$B$6,PARAMETERS!$B$6+PARAMETERS!$B$10*(P16-PARAMETERS!$B$11))</f>
        <v>3.0846158861899804E-2</v>
      </c>
      <c r="R16" s="155">
        <f>PARAMETERS!$B$4/DECARBONISATION!Q16</f>
        <v>2.4314210510222591</v>
      </c>
    </row>
    <row r="17" spans="1:18" ht="20.149999999999999" customHeight="1" x14ac:dyDescent="0.35">
      <c r="A17" s="1">
        <v>2029</v>
      </c>
      <c r="C17" s="13">
        <f t="shared" si="0"/>
        <v>742.62476660627283</v>
      </c>
      <c r="D17" s="13">
        <f>PARAMETERS!$B$4*C17</f>
        <v>55.696857495470461</v>
      </c>
      <c r="E17" s="37">
        <f t="shared" si="1"/>
        <v>-3.0846158861899908E-2</v>
      </c>
      <c r="G17" s="13">
        <f>G16+PARAMETERS!$B$5*L16-Q16*G16</f>
        <v>850.73806223826944</v>
      </c>
      <c r="H17" s="13">
        <f>PARAMETERS!$B$4*G17</f>
        <v>63.805354667870205</v>
      </c>
      <c r="I17" s="11">
        <f t="shared" si="2"/>
        <v>8.7948865957795122E-2</v>
      </c>
      <c r="J17" s="38"/>
      <c r="K17" s="112">
        <f t="shared" si="3"/>
        <v>1593.3628288445423</v>
      </c>
      <c r="L17" s="112">
        <f t="shared" si="4"/>
        <v>119.50221216334066</v>
      </c>
      <c r="M17" s="133">
        <f t="shared" si="5"/>
        <v>2.9153841138100045E-2</v>
      </c>
      <c r="N17" s="10">
        <f>PARAMETERS!$B$15*D17</f>
        <v>7.6052210055716944</v>
      </c>
      <c r="O17" s="13">
        <f t="shared" si="6"/>
        <v>718.60811589589764</v>
      </c>
      <c r="P17" s="4">
        <f>PARAMETERS!$B$9*O17</f>
        <v>1.5735944143705789</v>
      </c>
      <c r="Q17" s="8">
        <f>MAX(PARAMETERS!$B$6,PARAMETERS!$B$6+PARAMETERS!$B$10*(P17-PARAMETERS!$B$11))</f>
        <v>3.1103916215558681E-2</v>
      </c>
      <c r="R17" s="155">
        <f>PARAMETERS!$B$4/DECARBONISATION!Q17</f>
        <v>2.4112719273106769</v>
      </c>
    </row>
    <row r="18" spans="1:18" ht="20.149999999999999" customHeight="1" x14ac:dyDescent="0.35">
      <c r="A18" s="1">
        <v>2030</v>
      </c>
      <c r="C18" s="13">
        <f t="shared" si="0"/>
        <v>719.52622808615251</v>
      </c>
      <c r="D18" s="13">
        <f>PARAMETERS!$B$4*C18</f>
        <v>53.964467106461434</v>
      </c>
      <c r="E18" s="37">
        <f t="shared" si="1"/>
        <v>-3.1103916215558712E-2</v>
      </c>
      <c r="G18" s="13">
        <f>G17+PARAMETERS!$B$5*L17-Q17*G17</f>
        <v>919.87854655969613</v>
      </c>
      <c r="H18" s="13">
        <f>PARAMETERS!$B$4*G18</f>
        <v>68.99089099197721</v>
      </c>
      <c r="I18" s="11">
        <f t="shared" si="2"/>
        <v>8.1271177804740441E-2</v>
      </c>
      <c r="J18" s="38"/>
      <c r="K18" s="112">
        <f t="shared" si="3"/>
        <v>1639.4047746458486</v>
      </c>
      <c r="L18" s="112">
        <f t="shared" si="4"/>
        <v>122.95535809843864</v>
      </c>
      <c r="M18" s="133">
        <f t="shared" si="5"/>
        <v>2.8896083784441359E-2</v>
      </c>
      <c r="N18" s="10">
        <f>PARAMETERS!$B$15*D18</f>
        <v>7.3686688486135852</v>
      </c>
      <c r="O18" s="13">
        <f t="shared" si="6"/>
        <v>726.21333690146935</v>
      </c>
      <c r="P18" s="4">
        <f>PARAMETERS!$B$9*O18</f>
        <v>1.5902481829959185</v>
      </c>
      <c r="Q18" s="8">
        <f>MAX(PARAMETERS!$B$6,PARAMETERS!$B$6+PARAMETERS!$B$10*(P18-PARAMETERS!$B$11))</f>
        <v>3.1353722744938778E-2</v>
      </c>
      <c r="R18" s="155">
        <f>PARAMETERS!$B$4/DECARBONISATION!Q18</f>
        <v>2.3920604455847831</v>
      </c>
    </row>
    <row r="19" spans="1:18" ht="20.149999999999999" customHeight="1" x14ac:dyDescent="0.35">
      <c r="A19" s="1">
        <v>2031</v>
      </c>
      <c r="C19" s="13">
        <f t="shared" si="0"/>
        <v>696.96640222302767</v>
      </c>
      <c r="D19" s="13">
        <f>PARAMETERS!$B$4*C19</f>
        <v>52.272480166727071</v>
      </c>
      <c r="E19" s="37">
        <f t="shared" si="1"/>
        <v>-3.1353722744938833E-2</v>
      </c>
      <c r="G19" s="13">
        <f>G18+PARAMETERS!$B$5*L18-Q18*G18</f>
        <v>989.40121613059716</v>
      </c>
      <c r="H19" s="13">
        <f>PARAMETERS!$B$4*G19</f>
        <v>74.205091209794787</v>
      </c>
      <c r="I19" s="11">
        <f t="shared" si="2"/>
        <v>7.5578096511667386E-2</v>
      </c>
      <c r="J19" s="38"/>
      <c r="K19" s="112">
        <f t="shared" si="3"/>
        <v>1686.3676183536249</v>
      </c>
      <c r="L19" s="112">
        <f t="shared" si="4"/>
        <v>126.47757137652187</v>
      </c>
      <c r="M19" s="133">
        <f t="shared" si="5"/>
        <v>2.8646277255061369E-2</v>
      </c>
      <c r="N19" s="10">
        <f>PARAMETERS!$B$15*D19</f>
        <v>7.1376336485348872</v>
      </c>
      <c r="O19" s="13">
        <f t="shared" si="6"/>
        <v>733.58200575008289</v>
      </c>
      <c r="P19" s="4">
        <f>PARAMETERS!$B$9*O19</f>
        <v>1.606383954197262</v>
      </c>
      <c r="Q19" s="8">
        <f>MAX(PARAMETERS!$B$6,PARAMETERS!$B$6+PARAMETERS!$B$10*(P19-PARAMETERS!$B$11))</f>
        <v>3.1595759312958931E-2</v>
      </c>
      <c r="R19" s="155">
        <f>PARAMETERS!$B$4/DECARBONISATION!Q19</f>
        <v>2.3737362744512018</v>
      </c>
    </row>
    <row r="20" spans="1:18" ht="20.149999999999999" customHeight="1" x14ac:dyDescent="0.35">
      <c r="A20" s="1">
        <v>2032</v>
      </c>
      <c r="C20" s="13">
        <f t="shared" si="0"/>
        <v>674.94521952917</v>
      </c>
      <c r="D20" s="13">
        <f>PARAMETERS!$B$4*C20</f>
        <v>50.620891464687752</v>
      </c>
      <c r="E20" s="37">
        <f t="shared" si="1"/>
        <v>-3.1595759312958771E-2</v>
      </c>
      <c r="G20" s="13">
        <f>G19+PARAMETERS!$B$5*L19-Q19*G19</f>
        <v>1059.3223905430034</v>
      </c>
      <c r="H20" s="13">
        <f>PARAMETERS!$B$4*G20</f>
        <v>79.449179290725255</v>
      </c>
      <c r="I20" s="11">
        <f t="shared" si="2"/>
        <v>7.067019250881626E-2</v>
      </c>
      <c r="J20" s="38"/>
      <c r="K20" s="112">
        <f t="shared" si="3"/>
        <v>1734.2676100721733</v>
      </c>
      <c r="L20" s="112">
        <f t="shared" si="4"/>
        <v>130.07007075541301</v>
      </c>
      <c r="M20" s="133">
        <f t="shared" si="5"/>
        <v>2.8404240687041105E-2</v>
      </c>
      <c r="N20" s="10">
        <f>PARAMETERS!$B$15*D20</f>
        <v>6.9121146937117031</v>
      </c>
      <c r="O20" s="13">
        <f t="shared" si="6"/>
        <v>740.7196393986178</v>
      </c>
      <c r="P20" s="4">
        <f>PARAMETERS!$B$9*O20</f>
        <v>1.622013808902083</v>
      </c>
      <c r="Q20" s="8">
        <f>MAX(PARAMETERS!$B$6,PARAMETERS!$B$6+PARAMETERS!$B$10*(P20-PARAMETERS!$B$11))</f>
        <v>3.1830207133531241E-2</v>
      </c>
      <c r="R20" s="155">
        <f>PARAMETERS!$B$4/DECARBONISATION!Q20</f>
        <v>2.3562523387097891</v>
      </c>
    </row>
    <row r="21" spans="1:18" ht="20.149999999999999" customHeight="1" x14ac:dyDescent="0.35">
      <c r="A21" s="1">
        <v>2033</v>
      </c>
      <c r="C21" s="13">
        <f t="shared" si="0"/>
        <v>653.46157338776982</v>
      </c>
      <c r="D21" s="13">
        <f>PARAMETERS!$B$4*C21</f>
        <v>49.009618004082732</v>
      </c>
      <c r="E21" s="37">
        <f t="shared" si="1"/>
        <v>-3.1830207133531338E-2</v>
      </c>
      <c r="G21" s="13">
        <f>G20+PARAMETERS!$B$5*L20-Q20*G20</f>
        <v>1129.6599960351625</v>
      </c>
      <c r="H21" s="13">
        <f>PARAMETERS!$B$4*G21</f>
        <v>84.724499702637189</v>
      </c>
      <c r="I21" s="11">
        <f t="shared" si="2"/>
        <v>6.639867722998323E-2</v>
      </c>
      <c r="J21" s="38"/>
      <c r="K21" s="112">
        <f t="shared" si="3"/>
        <v>1783.1215694229322</v>
      </c>
      <c r="L21" s="112">
        <f t="shared" si="4"/>
        <v>133.73411770671993</v>
      </c>
      <c r="M21" s="133">
        <f t="shared" si="5"/>
        <v>2.8169792866468719E-2</v>
      </c>
      <c r="N21" s="10">
        <f>PARAMETERS!$B$15*D21</f>
        <v>6.6921006512801346</v>
      </c>
      <c r="O21" s="13">
        <f t="shared" si="6"/>
        <v>747.63175409232952</v>
      </c>
      <c r="P21" s="4">
        <f>PARAMETERS!$B$9*O21</f>
        <v>1.6371498264795539</v>
      </c>
      <c r="Q21" s="8">
        <f>MAX(PARAMETERS!$B$6,PARAMETERS!$B$6+PARAMETERS!$B$10*(P21-PARAMETERS!$B$11))</f>
        <v>3.205724739719331E-2</v>
      </c>
      <c r="R21" s="155">
        <f>PARAMETERS!$B$4/DECARBONISATION!Q21</f>
        <v>2.3395645630687065</v>
      </c>
    </row>
    <row r="22" spans="1:18" ht="20.149999999999999" customHeight="1" x14ac:dyDescent="0.35">
      <c r="A22" s="1">
        <v>2034</v>
      </c>
      <c r="C22" s="13">
        <f t="shared" si="0"/>
        <v>632.51339406511886</v>
      </c>
      <c r="D22" s="13">
        <f>PARAMETERS!$B$4*C22</f>
        <v>47.438504554883913</v>
      </c>
      <c r="E22" s="37">
        <f t="shared" si="1"/>
        <v>-3.2057247397193296E-2</v>
      </c>
      <c r="G22" s="13">
        <f>G21+PARAMETERS!$B$5*L21-Q21*G21</f>
        <v>1200.4335002329269</v>
      </c>
      <c r="H22" s="13">
        <f>PARAMETERS!$B$4*G22</f>
        <v>90.032512517469513</v>
      </c>
      <c r="I22" s="11">
        <f t="shared" si="2"/>
        <v>6.2650270387694051E-2</v>
      </c>
      <c r="J22" s="38"/>
      <c r="K22" s="112">
        <f t="shared" si="3"/>
        <v>1832.9468942980457</v>
      </c>
      <c r="L22" s="112">
        <f t="shared" si="4"/>
        <v>137.47101707235342</v>
      </c>
      <c r="M22" s="133">
        <f t="shared" si="5"/>
        <v>2.7942752602806587E-2</v>
      </c>
      <c r="N22" s="10">
        <f>PARAMETERS!$B$15*D22</f>
        <v>6.4775703250951286</v>
      </c>
      <c r="O22" s="13">
        <f t="shared" si="6"/>
        <v>754.32385474360967</v>
      </c>
      <c r="P22" s="4">
        <f>PARAMETERS!$B$9*O22</f>
        <v>1.651804061482357</v>
      </c>
      <c r="Q22" s="8">
        <f>MAX(PARAMETERS!$B$6,PARAMETERS!$B$6+PARAMETERS!$B$10*(P22-PARAMETERS!$B$11))</f>
        <v>3.2277060922235354E-2</v>
      </c>
      <c r="R22" s="155">
        <f>PARAMETERS!$B$4/DECARBONISATION!Q22</f>
        <v>2.3236316398415702</v>
      </c>
    </row>
    <row r="23" spans="1:18" ht="20.149999999999999" customHeight="1" x14ac:dyDescent="0.35">
      <c r="A23" s="1">
        <v>2035</v>
      </c>
      <c r="C23" s="13">
        <f t="shared" si="0"/>
        <v>612.09772071074917</v>
      </c>
      <c r="D23" s="13">
        <f>PARAMETERS!$B$4*C23</f>
        <v>45.907329053306185</v>
      </c>
      <c r="E23" s="37">
        <f t="shared" si="1"/>
        <v>-3.2277060922235368E-2</v>
      </c>
      <c r="G23" s="13">
        <f>G22+PARAMETERS!$B$5*L22-Q22*G22</f>
        <v>1271.6638486706993</v>
      </c>
      <c r="H23" s="13">
        <f>PARAMETERS!$B$4*G23</f>
        <v>95.374788650302449</v>
      </c>
      <c r="I23" s="11">
        <f t="shared" si="2"/>
        <v>5.9337188127415015E-2</v>
      </c>
      <c r="J23" s="38"/>
      <c r="K23" s="112">
        <f t="shared" si="3"/>
        <v>1883.7615693814485</v>
      </c>
      <c r="L23" s="112">
        <f t="shared" si="4"/>
        <v>141.28211770360863</v>
      </c>
      <c r="M23" s="133">
        <f t="shared" si="5"/>
        <v>2.7722939077764772E-2</v>
      </c>
      <c r="N23" s="10">
        <f>PARAMETERS!$B$15*D23</f>
        <v>6.2684933930839692</v>
      </c>
      <c r="O23" s="13">
        <f t="shared" si="6"/>
        <v>760.80142506870482</v>
      </c>
      <c r="P23" s="4">
        <f>PARAMETERS!$B$9*O23</f>
        <v>1.6659885220482589</v>
      </c>
      <c r="Q23" s="8">
        <f>MAX(PARAMETERS!$B$6,PARAMETERS!$B$6+PARAMETERS!$B$10*(P23-PARAMETERS!$B$11))</f>
        <v>3.2489827830723884E-2</v>
      </c>
      <c r="R23" s="155">
        <f>PARAMETERS!$B$4/DECARBONISATION!Q23</f>
        <v>2.3084148180396489</v>
      </c>
    </row>
    <row r="24" spans="1:18" ht="20.149999999999999" customHeight="1" x14ac:dyDescent="0.35">
      <c r="A24" s="1">
        <v>2036</v>
      </c>
      <c r="C24" s="13">
        <f t="shared" si="0"/>
        <v>592.21077114927846</v>
      </c>
      <c r="D24" s="13">
        <f>PARAMETERS!$B$4*C24</f>
        <v>44.415807836195881</v>
      </c>
      <c r="E24" s="37">
        <f t="shared" si="1"/>
        <v>-3.2489827830723822E-2</v>
      </c>
      <c r="G24" s="13">
        <f>G23+PARAMETERS!$B$5*L23-Q23*G23</f>
        <v>1343.3734033317194</v>
      </c>
      <c r="H24" s="13">
        <f>PARAMETERS!$B$4*G24</f>
        <v>100.75300524987895</v>
      </c>
      <c r="I24" s="11">
        <f t="shared" si="2"/>
        <v>5.6390338324062421E-2</v>
      </c>
      <c r="J24" s="38"/>
      <c r="K24" s="112">
        <f t="shared" si="3"/>
        <v>1935.5841744809977</v>
      </c>
      <c r="L24" s="112">
        <f t="shared" si="4"/>
        <v>145.16881308607483</v>
      </c>
      <c r="M24" s="133">
        <f t="shared" si="5"/>
        <v>2.7510172169276072E-2</v>
      </c>
      <c r="N24" s="10">
        <f>PARAMETERS!$B$15*D24</f>
        <v>6.0648311219846409</v>
      </c>
      <c r="O24" s="13">
        <f t="shared" si="6"/>
        <v>767.0699184617888</v>
      </c>
      <c r="P24" s="4">
        <f>PARAMETERS!$B$9*O24</f>
        <v>1.6797151499163261</v>
      </c>
      <c r="Q24" s="8">
        <f>MAX(PARAMETERS!$B$6,PARAMETERS!$B$6+PARAMETERS!$B$10*(P24-PARAMETERS!$B$11))</f>
        <v>3.2695727248744894E-2</v>
      </c>
      <c r="R24" s="155">
        <f>PARAMETERS!$B$4/DECARBONISATION!Q24</f>
        <v>2.2938777115862763</v>
      </c>
    </row>
    <row r="25" spans="1:18" ht="20.149999999999999" customHeight="1" x14ac:dyDescent="0.35">
      <c r="A25" s="1">
        <v>2037</v>
      </c>
      <c r="C25" s="13">
        <f t="shared" si="0"/>
        <v>572.84800930201277</v>
      </c>
      <c r="D25" s="13">
        <f>PARAMETERS!$B$4*C25</f>
        <v>42.963600697650953</v>
      </c>
      <c r="E25" s="37">
        <f t="shared" si="1"/>
        <v>-3.2695727248744921E-2</v>
      </c>
      <c r="G25" s="13">
        <f>G24+PARAMETERS!$B$5*L24-Q24*G24</f>
        <v>1415.5858834120272</v>
      </c>
      <c r="H25" s="13">
        <f>PARAMETERS!$B$4*G25</f>
        <v>106.16894125590204</v>
      </c>
      <c r="I25" s="11">
        <f t="shared" si="2"/>
        <v>5.3754585211537351E-2</v>
      </c>
      <c r="J25" s="38"/>
      <c r="K25" s="112">
        <f t="shared" si="3"/>
        <v>1988.43389271404</v>
      </c>
      <c r="L25" s="112">
        <f t="shared" si="4"/>
        <v>149.13254195355299</v>
      </c>
      <c r="M25" s="133">
        <f t="shared" si="5"/>
        <v>2.7304272751255066E-2</v>
      </c>
      <c r="N25" s="10">
        <f>PARAMETERS!$B$15*D25</f>
        <v>5.8665370578105316</v>
      </c>
      <c r="O25" s="13">
        <f t="shared" si="6"/>
        <v>773.13474958377344</v>
      </c>
      <c r="P25" s="4">
        <f>PARAMETERS!$B$9*O25</f>
        <v>1.6929958020082632</v>
      </c>
      <c r="Q25" s="8">
        <f>MAX(PARAMETERS!$B$6,PARAMETERS!$B$6+PARAMETERS!$B$10*(P25-PARAMETERS!$B$11))</f>
        <v>3.2894937030123944E-2</v>
      </c>
      <c r="R25" s="155">
        <f>PARAMETERS!$B$4/DECARBONISATION!Q25</f>
        <v>2.2799861246524906</v>
      </c>
    </row>
    <row r="26" spans="1:18" ht="20.149999999999999" customHeight="1" x14ac:dyDescent="0.35">
      <c r="A26" s="1">
        <v>2038</v>
      </c>
      <c r="C26" s="13">
        <f t="shared" si="0"/>
        <v>554.00421010819116</v>
      </c>
      <c r="D26" s="13">
        <f>PARAMETERS!$B$4*C26</f>
        <v>41.550315758114337</v>
      </c>
      <c r="E26" s="37">
        <f t="shared" si="1"/>
        <v>-3.2894937030123923E-2</v>
      </c>
      <c r="G26" s="13">
        <f>G25+PARAMETERS!$B$5*L25-Q25*G25</f>
        <v>1488.3263084792986</v>
      </c>
      <c r="H26" s="13">
        <f>PARAMETERS!$B$4*G26</f>
        <v>111.6244731359474</v>
      </c>
      <c r="I26" s="11">
        <f t="shared" si="2"/>
        <v>5.138538460975825E-2</v>
      </c>
      <c r="J26" s="38"/>
      <c r="K26" s="112">
        <f t="shared" si="3"/>
        <v>2042.3305185874897</v>
      </c>
      <c r="L26" s="112">
        <f t="shared" si="4"/>
        <v>153.17478889406175</v>
      </c>
      <c r="M26" s="133">
        <f t="shared" si="5"/>
        <v>2.710506296987622E-2</v>
      </c>
      <c r="N26" s="10">
        <f>PARAMETERS!$B$15*D26</f>
        <v>5.6735576907089662</v>
      </c>
      <c r="O26" s="13">
        <f t="shared" si="6"/>
        <v>779.00128664158399</v>
      </c>
      <c r="P26" s="4">
        <f>PARAMETERS!$B$9*O26</f>
        <v>1.7058422335217169</v>
      </c>
      <c r="Q26" s="8">
        <f>MAX(PARAMETERS!$B$6,PARAMETERS!$B$6+PARAMETERS!$B$10*(P26-PARAMETERS!$B$11))</f>
        <v>3.3087633502825751E-2</v>
      </c>
      <c r="R26" s="155">
        <f>PARAMETERS!$B$4/DECARBONISATION!Q26</f>
        <v>2.2667078923488089</v>
      </c>
    </row>
    <row r="27" spans="1:18" ht="20.149999999999999" customHeight="1" x14ac:dyDescent="0.35">
      <c r="A27" s="1">
        <v>2039</v>
      </c>
      <c r="C27" s="13">
        <f t="shared" si="0"/>
        <v>535.67352184510889</v>
      </c>
      <c r="D27" s="13">
        <f>PARAMETERS!$B$4*C27</f>
        <v>40.175514138383164</v>
      </c>
      <c r="E27" s="37">
        <f t="shared" si="1"/>
        <v>-3.3087633502825751E-2</v>
      </c>
      <c r="G27" s="13">
        <f>G26+PARAMETERS!$B$5*L26-Q26*G26</f>
        <v>1561.6209441669714</v>
      </c>
      <c r="H27" s="13">
        <f>PARAMETERS!$B$4*G27</f>
        <v>117.12157081252285</v>
      </c>
      <c r="I27" s="11">
        <f t="shared" si="2"/>
        <v>4.9246348243727318E-2</v>
      </c>
      <c r="J27" s="38"/>
      <c r="K27" s="112">
        <f t="shared" si="3"/>
        <v>2097.2944660120802</v>
      </c>
      <c r="L27" s="112">
        <f t="shared" si="4"/>
        <v>157.29708495090603</v>
      </c>
      <c r="M27" s="133">
        <f t="shared" si="5"/>
        <v>2.6912366497174194E-2</v>
      </c>
      <c r="N27" s="10">
        <f>PARAMETERS!$B$15*D27</f>
        <v>5.4858330931816495</v>
      </c>
      <c r="O27" s="13">
        <f t="shared" si="6"/>
        <v>784.67484433229299</v>
      </c>
      <c r="P27" s="4">
        <f>PARAMETERS!$B$9*O27</f>
        <v>1.7182660824794738</v>
      </c>
      <c r="Q27" s="8">
        <f>MAX(PARAMETERS!$B$6,PARAMETERS!$B$6+PARAMETERS!$B$10*(P27-PARAMETERS!$B$11))</f>
        <v>3.3273991237192102E-2</v>
      </c>
      <c r="R27" s="155">
        <f>PARAMETERS!$B$4/DECARBONISATION!Q27</f>
        <v>2.254012735213097</v>
      </c>
    </row>
    <row r="28" spans="1:18" ht="20.149999999999999" customHeight="1" x14ac:dyDescent="0.35">
      <c r="A28" s="1">
        <v>2040</v>
      </c>
      <c r="C28" s="13">
        <f t="shared" si="0"/>
        <v>517.84952577323895</v>
      </c>
      <c r="D28" s="13">
        <f>PARAMETERS!$B$4*C28</f>
        <v>38.838714432992923</v>
      </c>
      <c r="E28" s="37">
        <f t="shared" si="1"/>
        <v>-3.3273991237191915E-2</v>
      </c>
      <c r="G28" s="13">
        <f>G27+PARAMETERS!$B$5*L27-Q27*G27</f>
        <v>1635.4972505156686</v>
      </c>
      <c r="H28" s="13">
        <f>PARAMETERS!$B$4*G28</f>
        <v>122.66229378867514</v>
      </c>
      <c r="I28" s="11">
        <f t="shared" si="2"/>
        <v>4.7307451033263219E-2</v>
      </c>
      <c r="J28" s="38"/>
      <c r="K28" s="112">
        <f t="shared" si="3"/>
        <v>2153.3467762889077</v>
      </c>
      <c r="L28" s="112">
        <f t="shared" si="4"/>
        <v>161.50100822166806</v>
      </c>
      <c r="M28" s="133">
        <f t="shared" si="5"/>
        <v>2.6726008762807771E-2</v>
      </c>
      <c r="N28" s="10">
        <f>PARAMETERS!$B$15*D28</f>
        <v>5.3032975309104256</v>
      </c>
      <c r="O28" s="13">
        <f t="shared" si="6"/>
        <v>790.16067742547466</v>
      </c>
      <c r="P28" s="4">
        <f>PARAMETERS!$B$9*O28</f>
        <v>1.7302788556762221</v>
      </c>
      <c r="Q28" s="8">
        <f>MAX(PARAMETERS!$B$6,PARAMETERS!$B$6+PARAMETERS!$B$10*(P28-PARAMETERS!$B$11))</f>
        <v>3.3454182835143328E-2</v>
      </c>
      <c r="R28" s="155">
        <f>PARAMETERS!$B$4/DECARBONISATION!Q28</f>
        <v>2.2418721261131251</v>
      </c>
    </row>
    <row r="29" spans="1:18" ht="20.149999999999999" customHeight="1" x14ac:dyDescent="0.35">
      <c r="A29" s="1">
        <v>2041</v>
      </c>
      <c r="C29" s="13">
        <f t="shared" si="0"/>
        <v>500.52529305692877</v>
      </c>
      <c r="D29" s="13">
        <f>PARAMETERS!$B$4*C29</f>
        <v>37.539396979269654</v>
      </c>
      <c r="E29" s="37">
        <f t="shared" si="1"/>
        <v>-3.3454182835143426E-2</v>
      </c>
      <c r="G29" s="13">
        <f>G28+PARAMETERS!$B$5*L28-Q28*G28</f>
        <v>1709.9838330478779</v>
      </c>
      <c r="H29" s="13">
        <f>PARAMETERS!$B$4*G29</f>
        <v>128.24878747859083</v>
      </c>
      <c r="I29" s="11">
        <f t="shared" si="2"/>
        <v>4.5543691686869954E-2</v>
      </c>
      <c r="J29" s="38"/>
      <c r="K29" s="112">
        <f t="shared" si="3"/>
        <v>2210.5091261048065</v>
      </c>
      <c r="L29" s="112">
        <f t="shared" si="4"/>
        <v>165.7881844578605</v>
      </c>
      <c r="M29" s="133">
        <f t="shared" si="5"/>
        <v>2.6545817164856812E-2</v>
      </c>
      <c r="N29" s="10">
        <f>PARAMETERS!$B$15*D29</f>
        <v>5.1258800456821838</v>
      </c>
      <c r="O29" s="13">
        <f t="shared" si="6"/>
        <v>795.46397495638507</v>
      </c>
      <c r="P29" s="4">
        <f>PARAMETERS!$B$9*O29</f>
        <v>1.7418919159628872</v>
      </c>
      <c r="Q29" s="8">
        <f>MAX(PARAMETERS!$B$6,PARAMETERS!$B$6+PARAMETERS!$B$10*(P29-PARAMETERS!$B$11))</f>
        <v>3.3628378739443306E-2</v>
      </c>
      <c r="R29" s="155">
        <f>PARAMETERS!$B$4/DECARBONISATION!Q29</f>
        <v>2.2302591683384132</v>
      </c>
    </row>
    <row r="30" spans="1:18" ht="20.149999999999999" customHeight="1" x14ac:dyDescent="0.35">
      <c r="A30" s="1">
        <v>2042</v>
      </c>
      <c r="C30" s="13">
        <f t="shared" si="0"/>
        <v>483.69343893333951</v>
      </c>
      <c r="D30" s="13">
        <f>PARAMETERS!$B$4*C30</f>
        <v>36.277007920000464</v>
      </c>
      <c r="E30" s="37">
        <f t="shared" si="1"/>
        <v>-3.3628378739443188E-2</v>
      </c>
      <c r="G30" s="13">
        <f>G29+PARAMETERS!$B$5*L29-Q29*G29</f>
        <v>1785.1103966381072</v>
      </c>
      <c r="H30" s="13">
        <f>PARAMETERS!$B$4*G30</f>
        <v>133.88327974785804</v>
      </c>
      <c r="I30" s="11">
        <f t="shared" si="2"/>
        <v>4.3934078286765911E-2</v>
      </c>
      <c r="J30" s="38"/>
      <c r="K30" s="112">
        <f t="shared" si="3"/>
        <v>2268.8038355714466</v>
      </c>
      <c r="L30" s="112">
        <f t="shared" si="4"/>
        <v>170.16028766785851</v>
      </c>
      <c r="M30" s="133">
        <f t="shared" si="5"/>
        <v>2.6371621260556741E-2</v>
      </c>
      <c r="N30" s="10">
        <f>PARAMETERS!$B$15*D30</f>
        <v>4.9535050101330285</v>
      </c>
      <c r="O30" s="13">
        <f t="shared" si="6"/>
        <v>800.58985500206722</v>
      </c>
      <c r="P30" s="4">
        <f>PARAMETERS!$B$9*O30</f>
        <v>1.7531164708074467</v>
      </c>
      <c r="Q30" s="8">
        <f>MAX(PARAMETERS!$B$6,PARAMETERS!$B$6+PARAMETERS!$B$10*(P30-PARAMETERS!$B$11))</f>
        <v>3.37967470621117E-2</v>
      </c>
      <c r="R30" s="155">
        <f>PARAMETERS!$B$4/DECARBONISATION!Q30</f>
        <v>2.2191484837923872</v>
      </c>
    </row>
    <row r="31" spans="1:18" ht="20.149999999999999" customHeight="1" x14ac:dyDescent="0.35">
      <c r="A31" s="1">
        <v>2043</v>
      </c>
      <c r="C31" s="13">
        <f t="shared" si="0"/>
        <v>467.34617412210645</v>
      </c>
      <c r="D31" s="13">
        <f>PARAMETERS!$B$4*C31</f>
        <v>35.050963059157979</v>
      </c>
      <c r="E31" s="37">
        <f t="shared" si="1"/>
        <v>-3.379674706211188E-2</v>
      </c>
      <c r="G31" s="13">
        <f>G30+PARAMETERS!$B$5*L30-Q30*G30</f>
        <v>1860.90770221927</v>
      </c>
      <c r="H31" s="13">
        <f>PARAMETERS!$B$4*G31</f>
        <v>139.56807766644525</v>
      </c>
      <c r="I31" s="11">
        <f t="shared" si="2"/>
        <v>4.2460850445950903E-2</v>
      </c>
      <c r="J31" s="38"/>
      <c r="K31" s="112">
        <f t="shared" si="3"/>
        <v>2328.2538763413763</v>
      </c>
      <c r="L31" s="112">
        <f t="shared" si="4"/>
        <v>174.61904072560321</v>
      </c>
      <c r="M31" s="133">
        <f t="shared" si="5"/>
        <v>2.6203252937888121E-2</v>
      </c>
      <c r="N31" s="10">
        <f>PARAMETERS!$B$15*D31</f>
        <v>4.7860926542346585</v>
      </c>
      <c r="O31" s="13">
        <f t="shared" si="6"/>
        <v>805.54336001220031</v>
      </c>
      <c r="P31" s="4">
        <f>PARAMETERS!$B$9*O31</f>
        <v>1.7639635620705119</v>
      </c>
      <c r="Q31" s="8">
        <f>MAX(PARAMETERS!$B$6,PARAMETERS!$B$6+PARAMETERS!$B$10*(P31-PARAMETERS!$B$11))</f>
        <v>3.3959453431057676E-2</v>
      </c>
      <c r="R31" s="155">
        <f>PARAMETERS!$B$4/DECARBONISATION!Q31</f>
        <v>2.2085161103155042</v>
      </c>
    </row>
    <row r="32" spans="1:18" ht="20.149999999999999" customHeight="1" x14ac:dyDescent="0.35">
      <c r="A32" s="1">
        <v>2044</v>
      </c>
      <c r="C32" s="13">
        <f t="shared" si="0"/>
        <v>451.4753534858238</v>
      </c>
      <c r="D32" s="13">
        <f>PARAMETERS!$B$4*C32</f>
        <v>33.860651511436785</v>
      </c>
      <c r="E32" s="37">
        <f t="shared" si="1"/>
        <v>-3.3959453431057558E-2</v>
      </c>
      <c r="G32" s="13">
        <f>G31+PARAMETERS!$B$5*L31-Q31*G31</f>
        <v>1937.4075263467407</v>
      </c>
      <c r="H32" s="13">
        <f>PARAMETERS!$B$4*G32</f>
        <v>145.30556447600554</v>
      </c>
      <c r="I32" s="11">
        <f t="shared" si="2"/>
        <v>4.1108876080333756E-2</v>
      </c>
      <c r="J32" s="38"/>
      <c r="K32" s="112">
        <f t="shared" si="3"/>
        <v>2388.8828798325644</v>
      </c>
      <c r="L32" s="112">
        <f t="shared" si="4"/>
        <v>179.16621598744234</v>
      </c>
      <c r="M32" s="133">
        <f t="shared" si="5"/>
        <v>2.6040546568942453E-2</v>
      </c>
      <c r="N32" s="10">
        <f>PARAMETERS!$B$15*D32</f>
        <v>4.6235595636264506</v>
      </c>
      <c r="O32" s="13">
        <f t="shared" si="6"/>
        <v>810.32945266643492</v>
      </c>
      <c r="P32" s="4">
        <f>PARAMETERS!$B$9*O32</f>
        <v>1.7744440569337991</v>
      </c>
      <c r="Q32" s="8">
        <f>MAX(PARAMETERS!$B$6,PARAMETERS!$B$6+PARAMETERS!$B$10*(P32-PARAMETERS!$B$11))</f>
        <v>3.4116660854006983E-2</v>
      </c>
      <c r="R32" s="155">
        <f>PARAMETERS!$B$4/DECARBONISATION!Q32</f>
        <v>2.1983394072750024</v>
      </c>
    </row>
    <row r="33" spans="1:28" ht="20.149999999999999" customHeight="1" x14ac:dyDescent="0.35">
      <c r="A33" s="1">
        <v>2045</v>
      </c>
      <c r="C33" s="13">
        <f t="shared" si="0"/>
        <v>436.07252196700506</v>
      </c>
      <c r="D33" s="13">
        <f>PARAMETERS!$B$4*C33</f>
        <v>32.705439147525375</v>
      </c>
      <c r="E33" s="37">
        <f t="shared" si="1"/>
        <v>-3.4116660854007053E-2</v>
      </c>
      <c r="G33" s="13">
        <f>G32+PARAMETERS!$B$5*L32-Q32*G32</f>
        <v>2014.6426236243224</v>
      </c>
      <c r="H33" s="13">
        <f>PARAMETERS!$B$4*G33</f>
        <v>151.09819677182418</v>
      </c>
      <c r="I33" s="11">
        <f t="shared" si="2"/>
        <v>3.9865178712926566E-2</v>
      </c>
      <c r="J33" s="38"/>
      <c r="K33" s="112">
        <f t="shared" si="3"/>
        <v>2450.7151455913272</v>
      </c>
      <c r="L33" s="112">
        <f t="shared" si="4"/>
        <v>183.80363591934955</v>
      </c>
      <c r="M33" s="133">
        <f t="shared" si="5"/>
        <v>2.5883339145993001E-2</v>
      </c>
      <c r="N33" s="10">
        <f>PARAMETERS!$B$15*D33</f>
        <v>4.4658191500559061</v>
      </c>
      <c r="O33" s="13">
        <f t="shared" si="6"/>
        <v>814.9530122300614</v>
      </c>
      <c r="P33" s="4">
        <f>PARAMETERS!$B$9*O33</f>
        <v>1.7845686399198426</v>
      </c>
      <c r="Q33" s="8">
        <f>MAX(PARAMETERS!$B$6,PARAMETERS!$B$6+PARAMETERS!$B$10*(P33-PARAMETERS!$B$11))</f>
        <v>3.4268529598797635E-2</v>
      </c>
      <c r="R33" s="155">
        <f>PARAMETERS!$B$4/DECARBONISATION!Q33</f>
        <v>2.188596968649378</v>
      </c>
    </row>
    <row r="34" spans="1:28" s="2" customFormat="1" ht="20.149999999999999" customHeight="1" x14ac:dyDescent="0.35">
      <c r="A34" s="1">
        <v>2046</v>
      </c>
      <c r="B34" s="39"/>
      <c r="C34" s="13">
        <f t="shared" si="0"/>
        <v>421.12895784075641</v>
      </c>
      <c r="D34" s="13">
        <f>PARAMETERS!$B$4*C34</f>
        <v>31.584671838056728</v>
      </c>
      <c r="E34" s="37">
        <f t="shared" si="1"/>
        <v>-3.4268529598797601E-2</v>
      </c>
      <c r="F34" s="43"/>
      <c r="G34" s="13">
        <f>G33+PARAMETERS!$B$5*L33-Q33*G33</f>
        <v>2092.6466919811328</v>
      </c>
      <c r="H34" s="13">
        <f>PARAMETERS!$B$4*G34</f>
        <v>156.94850189858496</v>
      </c>
      <c r="I34" s="11">
        <f t="shared" si="2"/>
        <v>3.8718563502087501E-2</v>
      </c>
      <c r="J34" s="38"/>
      <c r="K34" s="112">
        <f t="shared" si="3"/>
        <v>2513.7756498218891</v>
      </c>
      <c r="L34" s="112">
        <f t="shared" si="4"/>
        <v>188.53317373664169</v>
      </c>
      <c r="M34" s="133">
        <f t="shared" si="5"/>
        <v>2.5731470401202484E-2</v>
      </c>
      <c r="N34" s="10">
        <f>PARAMETERS!$B$15*D34</f>
        <v>4.3127820943293376</v>
      </c>
      <c r="O34" s="13">
        <f t="shared" si="6"/>
        <v>819.41883138011735</v>
      </c>
      <c r="P34" s="4">
        <f>PARAMETERS!$B$9*O34</f>
        <v>1.7943478059418629</v>
      </c>
      <c r="Q34" s="8">
        <f>MAX(PARAMETERS!$B$6,PARAMETERS!$B$6+PARAMETERS!$B$10*(P34-PARAMETERS!$B$11))</f>
        <v>3.4415217089127939E-2</v>
      </c>
      <c r="R34" s="155">
        <f>PARAMETERS!$B$4/DECARBONISATION!Q34</f>
        <v>2.1792685429171139</v>
      </c>
      <c r="S34" s="47"/>
      <c r="T34" s="1"/>
      <c r="U34" s="1"/>
      <c r="V34" s="5"/>
      <c r="W34" s="1"/>
      <c r="X34" s="1"/>
      <c r="Y34" s="1"/>
      <c r="Z34" s="1"/>
      <c r="AA34" s="1"/>
      <c r="AB34" s="1"/>
    </row>
    <row r="35" spans="1:28" s="2" customFormat="1" ht="20.149999999999999" customHeight="1" x14ac:dyDescent="0.35">
      <c r="A35" s="1">
        <v>2047</v>
      </c>
      <c r="B35" s="39"/>
      <c r="C35" s="13">
        <f t="shared" si="0"/>
        <v>406.63571333414859</v>
      </c>
      <c r="D35" s="13">
        <f>PARAMETERS!$B$4*C35</f>
        <v>30.497678500061141</v>
      </c>
      <c r="E35" s="37">
        <f t="shared" si="1"/>
        <v>-3.4415217089127904E-2</v>
      </c>
      <c r="F35" s="43"/>
      <c r="G35" s="13">
        <f>G34+PARAMETERS!$B$5*L34-Q34*G34</f>
        <v>2171.4543407750698</v>
      </c>
      <c r="H35" s="13">
        <f>PARAMETERS!$B$4*G35</f>
        <v>162.85907555813023</v>
      </c>
      <c r="I35" s="11">
        <f t="shared" si="2"/>
        <v>3.7659318744975884E-2</v>
      </c>
      <c r="J35" s="38"/>
      <c r="K35" s="112">
        <f t="shared" si="3"/>
        <v>2578.0900541092183</v>
      </c>
      <c r="L35" s="112">
        <f t="shared" si="4"/>
        <v>193.35675405819137</v>
      </c>
      <c r="M35" s="133">
        <f t="shared" si="5"/>
        <v>2.5584782910871962E-2</v>
      </c>
      <c r="N35" s="10">
        <f>PARAMETERS!$B$15*D35</f>
        <v>4.16435676229489</v>
      </c>
      <c r="O35" s="13">
        <f t="shared" si="6"/>
        <v>823.7316134744467</v>
      </c>
      <c r="P35" s="4">
        <f>PARAMETERS!$B$9*O35</f>
        <v>1.803791854323606</v>
      </c>
      <c r="Q35" s="8">
        <f>MAX(PARAMETERS!$B$6,PARAMETERS!$B$6+PARAMETERS!$B$10*(P35-PARAMETERS!$B$11))</f>
        <v>3.4556877814854087E-2</v>
      </c>
      <c r="R35" s="155">
        <f>PARAMETERS!$B$4/DECARBONISATION!Q35</f>
        <v>2.170334959131107</v>
      </c>
      <c r="S35" s="47"/>
      <c r="T35" s="1"/>
      <c r="U35" s="1"/>
      <c r="V35" s="5"/>
      <c r="W35" s="1"/>
      <c r="X35" s="1"/>
      <c r="Y35" s="1"/>
      <c r="Z35" s="1"/>
      <c r="AA35" s="1"/>
      <c r="AB35" s="1"/>
    </row>
    <row r="36" spans="1:28" s="2" customFormat="1" ht="20.149999999999999" customHeight="1" x14ac:dyDescent="0.35">
      <c r="A36" s="1">
        <v>2048</v>
      </c>
      <c r="B36" s="39"/>
      <c r="C36" s="13">
        <f t="shared" si="0"/>
        <v>392.58365267330441</v>
      </c>
      <c r="D36" s="13">
        <f>PARAMETERS!$B$4*C36</f>
        <v>29.443773950497828</v>
      </c>
      <c r="E36" s="37">
        <f t="shared" si="1"/>
        <v>-3.4556877814854017E-2</v>
      </c>
      <c r="F36" s="43"/>
      <c r="G36" s="13">
        <f>G35+PARAMETERS!$B$5*L35-Q35*G35</f>
        <v>2251.1010616869244</v>
      </c>
      <c r="H36" s="13">
        <f>PARAMETERS!$B$4*G36</f>
        <v>168.83257962651933</v>
      </c>
      <c r="I36" s="11">
        <f t="shared" si="2"/>
        <v>3.6678975659891588E-2</v>
      </c>
      <c r="J36" s="38"/>
      <c r="K36" s="112">
        <f t="shared" si="3"/>
        <v>2643.684714360229</v>
      </c>
      <c r="L36" s="112">
        <f t="shared" si="4"/>
        <v>198.27635357701718</v>
      </c>
      <c r="M36" s="133">
        <f t="shared" si="5"/>
        <v>2.5443122185146091E-2</v>
      </c>
      <c r="N36" s="10">
        <f>PARAMETERS!$B$15*D36</f>
        <v>4.0204495944828045</v>
      </c>
      <c r="O36" s="13">
        <f t="shared" si="6"/>
        <v>827.89597023674162</v>
      </c>
      <c r="P36" s="4">
        <f>PARAMETERS!$B$9*O36</f>
        <v>1.8129108837300913</v>
      </c>
      <c r="Q36" s="8">
        <f>MAX(PARAMETERS!$B$6,PARAMETERS!$B$6+PARAMETERS!$B$10*(P36-PARAMETERS!$B$11))</f>
        <v>3.4693663255951371E-2</v>
      </c>
      <c r="R36" s="155">
        <f>PARAMETERS!$B$4/DECARBONISATION!Q36</f>
        <v>2.1617780586238453</v>
      </c>
      <c r="S36" s="47"/>
      <c r="T36" s="1"/>
      <c r="U36" s="1"/>
      <c r="V36" s="5"/>
      <c r="W36" s="1"/>
      <c r="X36" s="1"/>
      <c r="Y36" s="1"/>
      <c r="Z36" s="1"/>
      <c r="AA36" s="1"/>
      <c r="AB36" s="1"/>
    </row>
    <row r="37" spans="1:28" s="2" customFormat="1" ht="20.149999999999999" customHeight="1" x14ac:dyDescent="0.35">
      <c r="A37" s="1">
        <v>2049</v>
      </c>
      <c r="B37" s="39"/>
      <c r="C37" s="13">
        <f t="shared" si="0"/>
        <v>378.96348762766542</v>
      </c>
      <c r="D37" s="13">
        <f>PARAMETERS!$B$4*C37</f>
        <v>28.422261572074905</v>
      </c>
      <c r="E37" s="37">
        <f t="shared" si="1"/>
        <v>-3.4693663255951308E-2</v>
      </c>
      <c r="F37" s="43"/>
      <c r="G37" s="13">
        <f>G36+PARAMETERS!$B$5*L36-Q36*G36</f>
        <v>2331.623202359257</v>
      </c>
      <c r="H37" s="13">
        <f>PARAMETERS!$B$4*G37</f>
        <v>174.87174017694426</v>
      </c>
      <c r="I37" s="11">
        <f t="shared" si="2"/>
        <v>3.5770113586988776E-2</v>
      </c>
      <c r="J37" s="38"/>
      <c r="K37" s="112">
        <f t="shared" si="3"/>
        <v>2710.5866899869225</v>
      </c>
      <c r="L37" s="112">
        <f t="shared" si="4"/>
        <v>203.29400174901917</v>
      </c>
      <c r="M37" s="133">
        <f t="shared" si="5"/>
        <v>2.5306336744048377E-2</v>
      </c>
      <c r="N37" s="10">
        <f>PARAMETERS!$B$15*D37</f>
        <v>3.8809654701142922</v>
      </c>
      <c r="O37" s="13">
        <f t="shared" si="6"/>
        <v>831.9164198312244</v>
      </c>
      <c r="P37" s="4">
        <f>PARAMETERS!$B$9*O37</f>
        <v>1.8217147879515865</v>
      </c>
      <c r="Q37" s="8">
        <f>MAX(PARAMETERS!$B$6,PARAMETERS!$B$6+PARAMETERS!$B$10*(P37-PARAMETERS!$B$11))</f>
        <v>3.4825721819273799E-2</v>
      </c>
      <c r="R37" s="155">
        <f>PARAMETERS!$B$4/DECARBONISATION!Q37</f>
        <v>2.1535806318447164</v>
      </c>
      <c r="S37" s="47"/>
      <c r="T37" s="1"/>
      <c r="U37" s="1"/>
      <c r="V37" s="5"/>
      <c r="W37" s="1"/>
      <c r="X37" s="1"/>
      <c r="Y37" s="1"/>
      <c r="Z37" s="1"/>
      <c r="AA37" s="1"/>
      <c r="AB37" s="1"/>
    </row>
    <row r="38" spans="1:28" s="2" customFormat="1" ht="20.149999999999999" customHeight="1" x14ac:dyDescent="0.35">
      <c r="A38" s="1">
        <v>2050</v>
      </c>
      <c r="B38" s="39"/>
      <c r="C38" s="13">
        <f t="shared" si="0"/>
        <v>365.76581062788256</v>
      </c>
      <c r="D38" s="13">
        <f>PARAMETERS!$B$4*C38</f>
        <v>27.432435797091191</v>
      </c>
      <c r="E38" s="37">
        <f t="shared" si="1"/>
        <v>-3.4825721819273729E-2</v>
      </c>
      <c r="F38" s="43"/>
      <c r="G38" s="13">
        <f>G37+PARAMETERS!$B$5*L37-Q37*G37</f>
        <v>2413.0579427257449</v>
      </c>
      <c r="H38" s="13">
        <f>PARAMETERS!$B$4*G38</f>
        <v>180.97934570443087</v>
      </c>
      <c r="I38" s="11">
        <f t="shared" si="2"/>
        <v>3.4926200890473331E-2</v>
      </c>
      <c r="J38" s="38"/>
      <c r="K38" s="112">
        <f t="shared" si="3"/>
        <v>2778.8237533536276</v>
      </c>
      <c r="L38" s="112">
        <f t="shared" si="4"/>
        <v>208.41178150152206</v>
      </c>
      <c r="M38" s="133">
        <f t="shared" si="5"/>
        <v>2.517427818072638E-2</v>
      </c>
      <c r="N38" s="10">
        <f>PARAMETERS!$B$15*D38</f>
        <v>3.7458080462618848</v>
      </c>
      <c r="O38" s="13">
        <f t="shared" si="6"/>
        <v>835.79738530133875</v>
      </c>
      <c r="P38" s="4">
        <f>PARAMETERS!$B$9*O38</f>
        <v>1.8302132524846835</v>
      </c>
      <c r="Q38" s="8">
        <f>MAX(PARAMETERS!$B$6,PARAMETERS!$B$6+PARAMETERS!$B$10*(P38-PARAMETERS!$B$11))</f>
        <v>3.4953198787270254E-2</v>
      </c>
      <c r="R38" s="155">
        <f>PARAMETERS!$B$4/DECARBONISATION!Q38</f>
        <v>2.1457263598808174</v>
      </c>
      <c r="S38" s="47"/>
      <c r="T38" s="1"/>
      <c r="U38" s="1"/>
      <c r="V38" s="5"/>
      <c r="W38" s="1"/>
      <c r="X38" s="1"/>
      <c r="Y38" s="1"/>
      <c r="Z38" s="1"/>
      <c r="AA38" s="1"/>
      <c r="AB38" s="1"/>
    </row>
    <row r="39" spans="1:28" s="2" customFormat="1" ht="20.149999999999999" customHeight="1" x14ac:dyDescent="0.35">
      <c r="A39" s="1">
        <v>2051</v>
      </c>
      <c r="B39" s="39"/>
      <c r="C39" s="13">
        <f t="shared" si="0"/>
        <v>352.98112553941911</v>
      </c>
      <c r="D39" s="13">
        <f>PARAMETERS!$B$4*C39</f>
        <v>26.473584415456433</v>
      </c>
      <c r="E39" s="37">
        <f t="shared" si="1"/>
        <v>-3.4953198787270316E-2</v>
      </c>
      <c r="F39" s="43"/>
      <c r="G39" s="13">
        <f>G38+PARAMETERS!$B$5*L38-Q38*G38</f>
        <v>2495.4432739696681</v>
      </c>
      <c r="H39" s="13">
        <f>PARAMETERS!$B$4*G39</f>
        <v>187.1582455477251</v>
      </c>
      <c r="I39" s="11">
        <f t="shared" si="2"/>
        <v>3.4141464150198635E-2</v>
      </c>
      <c r="J39" s="38"/>
      <c r="K39" s="112">
        <f t="shared" si="3"/>
        <v>2848.4243995090874</v>
      </c>
      <c r="L39" s="112">
        <f t="shared" si="4"/>
        <v>213.63182996318153</v>
      </c>
      <c r="M39" s="133">
        <f t="shared" si="5"/>
        <v>2.5046801212729671E-2</v>
      </c>
      <c r="N39" s="10">
        <f>PARAMETERS!$B$15*D39</f>
        <v>3.6148800730019364</v>
      </c>
      <c r="O39" s="13">
        <f t="shared" si="6"/>
        <v>839.54319334760066</v>
      </c>
      <c r="P39" s="4">
        <f>PARAMETERS!$B$9*O39</f>
        <v>1.83841575185606</v>
      </c>
      <c r="Q39" s="8">
        <f>MAX(PARAMETERS!$B$6,PARAMETERS!$B$6+PARAMETERS!$B$10*(P39-PARAMETERS!$B$11))</f>
        <v>3.50762362778409E-2</v>
      </c>
      <c r="R39" s="155">
        <f>PARAMETERS!$B$4/DECARBONISATION!Q39</f>
        <v>2.138199760257077</v>
      </c>
      <c r="S39" s="47"/>
      <c r="T39" s="1"/>
      <c r="U39" s="1"/>
      <c r="V39" s="5"/>
      <c r="W39" s="1"/>
      <c r="X39" s="1"/>
      <c r="Y39" s="1"/>
      <c r="Z39" s="1"/>
      <c r="AA39" s="1"/>
      <c r="AB39" s="1"/>
    </row>
    <row r="40" spans="1:28" s="2" customFormat="1" ht="20.149999999999999" customHeight="1" x14ac:dyDescent="0.35">
      <c r="A40" s="1">
        <v>2052</v>
      </c>
      <c r="B40" s="39"/>
      <c r="C40" s="13">
        <f t="shared" si="0"/>
        <v>340.59987617838021</v>
      </c>
      <c r="D40" s="13">
        <f>PARAMETERS!$B$4*C40</f>
        <v>25.544990713378514</v>
      </c>
      <c r="E40" s="37">
        <f t="shared" si="1"/>
        <v>-3.507623627784099E-2</v>
      </c>
      <c r="F40" s="43"/>
      <c r="G40" s="13">
        <f>G39+PARAMETERS!$B$5*L39-Q39*G39</f>
        <v>2578.8179800445041</v>
      </c>
      <c r="H40" s="13">
        <f>PARAMETERS!$B$4*G40</f>
        <v>193.41134850333779</v>
      </c>
      <c r="I40" s="11">
        <f t="shared" si="2"/>
        <v>3.3410779938189562E-2</v>
      </c>
      <c r="J40" s="38"/>
      <c r="K40" s="112">
        <f t="shared" si="3"/>
        <v>2919.4178562228844</v>
      </c>
      <c r="L40" s="112">
        <f t="shared" si="4"/>
        <v>218.95633921671632</v>
      </c>
      <c r="M40" s="133">
        <f t="shared" si="5"/>
        <v>2.4923763722159004E-2</v>
      </c>
      <c r="N40" s="10">
        <f>PARAMETERS!$B$15*D40</f>
        <v>3.4880836854452615</v>
      </c>
      <c r="O40" s="13">
        <f t="shared" si="6"/>
        <v>843.15807342060259</v>
      </c>
      <c r="P40" s="4">
        <f>PARAMETERS!$B$9*O40</f>
        <v>1.8463315476363562</v>
      </c>
      <c r="Q40" s="8">
        <f>MAX(PARAMETERS!$B$6,PARAMETERS!$B$6+PARAMETERS!$B$10*(P40-PARAMETERS!$B$11))</f>
        <v>3.5194973214545344E-2</v>
      </c>
      <c r="R40" s="155">
        <f>PARAMETERS!$B$4/DECARBONISATION!Q40</f>
        <v>2.1309861366510168</v>
      </c>
      <c r="S40" s="47"/>
      <c r="T40" s="1"/>
      <c r="U40" s="1"/>
      <c r="V40" s="5"/>
      <c r="W40" s="1"/>
      <c r="X40" s="1"/>
      <c r="Y40" s="1"/>
      <c r="Z40" s="1"/>
      <c r="AA40" s="1"/>
      <c r="AB40" s="1"/>
    </row>
    <row r="41" spans="1:28" s="2" customFormat="1" ht="20.149999999999999" customHeight="1" x14ac:dyDescent="0.35">
      <c r="A41" s="1">
        <v>2053</v>
      </c>
      <c r="B41" s="39"/>
      <c r="C41" s="13">
        <f t="shared" si="0"/>
        <v>328.61247265940466</v>
      </c>
      <c r="D41" s="13">
        <f>PARAMETERS!$B$4*C41</f>
        <v>24.645935449455347</v>
      </c>
      <c r="E41" s="37">
        <f t="shared" si="1"/>
        <v>-3.5194973214545351E-2</v>
      </c>
      <c r="F41" s="43"/>
      <c r="G41" s="13">
        <f>G40+PARAMETERS!$B$5*L40-Q40*G40</f>
        <v>2663.2216216850229</v>
      </c>
      <c r="H41" s="13">
        <f>PARAMETERS!$B$4*G41</f>
        <v>199.74162162637671</v>
      </c>
      <c r="I41" s="11">
        <f t="shared" si="2"/>
        <v>3.2729584753035716E-2</v>
      </c>
      <c r="J41" s="38"/>
      <c r="K41" s="112">
        <f t="shared" si="3"/>
        <v>2991.8340943444277</v>
      </c>
      <c r="L41" s="112">
        <f t="shared" si="4"/>
        <v>224.38755707583206</v>
      </c>
      <c r="M41" s="133">
        <f t="shared" si="5"/>
        <v>2.4805026785454674E-2</v>
      </c>
      <c r="N41" s="10">
        <f>PARAMETERS!$B$15*D41</f>
        <v>3.3653206735659227</v>
      </c>
      <c r="O41" s="13">
        <f t="shared" si="6"/>
        <v>846.64615710604789</v>
      </c>
      <c r="P41" s="4">
        <f>PARAMETERS!$B$9*O41</f>
        <v>1.8539696870935356</v>
      </c>
      <c r="Q41" s="8">
        <f>MAX(PARAMETERS!$B$6,PARAMETERS!$B$6+PARAMETERS!$B$10*(P41-PARAMETERS!$B$11))</f>
        <v>3.5309545306403033E-2</v>
      </c>
      <c r="R41" s="155">
        <f>PARAMETERS!$B$4/DECARBONISATION!Q41</f>
        <v>2.124071532192727</v>
      </c>
      <c r="S41" s="47"/>
      <c r="T41" s="1"/>
      <c r="U41" s="1"/>
      <c r="V41" s="5"/>
      <c r="W41" s="1"/>
      <c r="X41" s="1"/>
      <c r="Y41" s="1"/>
      <c r="Z41" s="1"/>
      <c r="AA41" s="1"/>
      <c r="AB41" s="1"/>
    </row>
    <row r="42" spans="1:28" s="2" customFormat="1" ht="20.149999999999999" customHeight="1" x14ac:dyDescent="0.35">
      <c r="A42" s="1">
        <v>2054</v>
      </c>
      <c r="B42" s="39"/>
      <c r="C42" s="13">
        <f t="shared" si="0"/>
        <v>317.00931566778826</v>
      </c>
      <c r="D42" s="13">
        <f>PARAMETERS!$B$4*C42</f>
        <v>23.775698675084119</v>
      </c>
      <c r="E42" s="37">
        <f t="shared" si="1"/>
        <v>-3.5309545306403053E-2</v>
      </c>
      <c r="F42" s="43"/>
      <c r="G42" s="13">
        <f>G41+PARAMETERS!$B$5*L41-Q41*G41</f>
        <v>2748.6945228338091</v>
      </c>
      <c r="H42" s="13">
        <f>PARAMETERS!$B$4*G42</f>
        <v>206.15208921253569</v>
      </c>
      <c r="I42" s="11">
        <f t="shared" si="2"/>
        <v>3.2093799649579112E-2</v>
      </c>
      <c r="J42" s="38"/>
      <c r="K42" s="112">
        <f t="shared" si="3"/>
        <v>3065.7038385015971</v>
      </c>
      <c r="L42" s="112">
        <f t="shared" si="4"/>
        <v>229.92778788761981</v>
      </c>
      <c r="M42" s="133">
        <f t="shared" si="5"/>
        <v>2.4690454693597038E-2</v>
      </c>
      <c r="N42" s="10">
        <f>PARAMETERS!$B$15*D42</f>
        <v>3.2464927307720721</v>
      </c>
      <c r="O42" s="13">
        <f t="shared" si="6"/>
        <v>850.01147777961387</v>
      </c>
      <c r="P42" s="4">
        <f>PARAMETERS!$B$9*O42</f>
        <v>1.8613390024371108</v>
      </c>
      <c r="Q42" s="8">
        <f>MAX(PARAMETERS!$B$6,PARAMETERS!$B$6+PARAMETERS!$B$10*(P42-PARAMETERS!$B$11))</f>
        <v>3.5420085036556664E-2</v>
      </c>
      <c r="R42" s="155">
        <f>PARAMETERS!$B$4/DECARBONISATION!Q42</f>
        <v>2.1174426860520903</v>
      </c>
      <c r="S42" s="47"/>
      <c r="T42" s="1"/>
      <c r="U42" s="1"/>
      <c r="V42" s="5"/>
      <c r="W42" s="1"/>
      <c r="X42" s="1"/>
      <c r="Y42" s="1"/>
      <c r="Z42" s="1"/>
      <c r="AA42" s="1"/>
      <c r="AB42" s="1"/>
    </row>
    <row r="43" spans="1:28" s="2" customFormat="1" ht="20.149999999999999" customHeight="1" x14ac:dyDescent="0.35">
      <c r="A43" s="1">
        <v>2055</v>
      </c>
      <c r="B43" s="39"/>
      <c r="C43" s="13">
        <f t="shared" si="0"/>
        <v>305.78081874945457</v>
      </c>
      <c r="D43" s="13">
        <f>PARAMETERS!$B$4*C43</f>
        <v>22.93356140620909</v>
      </c>
      <c r="E43" s="37">
        <f t="shared" si="1"/>
        <v>-3.5420085036556706E-2</v>
      </c>
      <c r="F43" s="43"/>
      <c r="G43" s="13">
        <f>G42+PARAMETERS!$B$5*L42-Q42*G42</f>
        <v>2835.2777594056138</v>
      </c>
      <c r="H43" s="13">
        <f>PARAMETERS!$B$4*G43</f>
        <v>212.64583195542102</v>
      </c>
      <c r="I43" s="11">
        <f t="shared" si="2"/>
        <v>3.1499766835690453E-2</v>
      </c>
      <c r="J43" s="38"/>
      <c r="K43" s="112">
        <f t="shared" si="3"/>
        <v>3141.0585781550685</v>
      </c>
      <c r="L43" s="112">
        <f t="shared" si="4"/>
        <v>235.57939336163011</v>
      </c>
      <c r="M43" s="133">
        <f t="shared" si="5"/>
        <v>2.4579914963443181E-2</v>
      </c>
      <c r="N43" s="10">
        <f>PARAMETERS!$B$15*D43</f>
        <v>3.1315016821775621</v>
      </c>
      <c r="O43" s="13">
        <f t="shared" si="6"/>
        <v>853.25797051038592</v>
      </c>
      <c r="P43" s="4">
        <f>PARAMETERS!$B$9*O43</f>
        <v>1.8684481106066846</v>
      </c>
      <c r="Q43" s="8">
        <f>MAX(PARAMETERS!$B$6,PARAMETERS!$B$6+PARAMETERS!$B$10*(P43-PARAMETERS!$B$11))</f>
        <v>3.5526721659100265E-2</v>
      </c>
      <c r="R43" s="155">
        <f>PARAMETERS!$B$4/DECARBONISATION!Q43</f>
        <v>2.1110869930434055</v>
      </c>
      <c r="S43" s="47"/>
      <c r="T43" s="1"/>
      <c r="U43" s="1"/>
      <c r="V43" s="5"/>
      <c r="W43" s="1"/>
      <c r="X43" s="1"/>
      <c r="Y43" s="1"/>
      <c r="Z43" s="1"/>
      <c r="AA43" s="1"/>
      <c r="AB43" s="1"/>
    </row>
    <row r="44" spans="1:28" s="2" customFormat="1" ht="20.149999999999999" customHeight="1" x14ac:dyDescent="0.35">
      <c r="A44" s="1">
        <v>2056</v>
      </c>
      <c r="B44" s="39"/>
      <c r="C44" s="13">
        <f t="shared" si="0"/>
        <v>294.91742871305092</v>
      </c>
      <c r="D44" s="13">
        <f>PARAMETERS!$B$4*C44</f>
        <v>22.118807153478819</v>
      </c>
      <c r="E44" s="37">
        <f t="shared" si="1"/>
        <v>-3.5526721659100119E-2</v>
      </c>
      <c r="F44" s="43"/>
      <c r="G44" s="13">
        <f>G43+PARAMETERS!$B$5*L43-Q43*G43</f>
        <v>2923.0131503102775</v>
      </c>
      <c r="H44" s="13">
        <f>PARAMETERS!$B$4*G44</f>
        <v>219.22598627327082</v>
      </c>
      <c r="I44" s="11">
        <f t="shared" si="2"/>
        <v>3.0944196071659963E-2</v>
      </c>
      <c r="J44" s="38"/>
      <c r="K44" s="112">
        <f t="shared" si="3"/>
        <v>3217.9305790233284</v>
      </c>
      <c r="L44" s="112">
        <f t="shared" si="4"/>
        <v>241.34479342674965</v>
      </c>
      <c r="M44" s="133">
        <f t="shared" si="5"/>
        <v>2.4473278340899969E-2</v>
      </c>
      <c r="N44" s="10">
        <f>PARAMETERS!$B$15*D44</f>
        <v>3.020249693539836</v>
      </c>
      <c r="O44" s="13">
        <f t="shared" si="6"/>
        <v>856.38947219256352</v>
      </c>
      <c r="P44" s="4">
        <f>PARAMETERS!$B$9*O44</f>
        <v>1.8753054135603582</v>
      </c>
      <c r="Q44" s="8">
        <f>MAX(PARAMETERS!$B$6,PARAMETERS!$B$6+PARAMETERS!$B$10*(P44-PARAMETERS!$B$11))</f>
        <v>3.5629581203405369E-2</v>
      </c>
      <c r="R44" s="155">
        <f>PARAMETERS!$B$4/DECARBONISATION!Q44</f>
        <v>2.1049924660027077</v>
      </c>
      <c r="S44" s="47"/>
      <c r="T44" s="1"/>
      <c r="U44" s="1"/>
      <c r="V44" s="5"/>
      <c r="W44" s="1"/>
      <c r="X44" s="1"/>
      <c r="Y44" s="1"/>
      <c r="Z44" s="1"/>
      <c r="AA44" s="1"/>
      <c r="AB44" s="1"/>
    </row>
    <row r="45" spans="1:28" s="2" customFormat="1" ht="20.149999999999999" customHeight="1" x14ac:dyDescent="0.35">
      <c r="A45" s="1">
        <v>2057</v>
      </c>
      <c r="B45" s="39"/>
      <c r="C45" s="13">
        <f t="shared" si="0"/>
        <v>284.40964423841979</v>
      </c>
      <c r="D45" s="13">
        <f>PARAMETERS!$B$4*C45</f>
        <v>21.330723317881482</v>
      </c>
      <c r="E45" s="37">
        <f t="shared" si="1"/>
        <v>-3.5629581203405383E-2</v>
      </c>
      <c r="F45" s="43"/>
      <c r="G45" s="13">
        <f>G44+PARAMETERS!$B$5*L44-Q44*G44</f>
        <v>3011.9432506540757</v>
      </c>
      <c r="H45" s="13">
        <f>PARAMETERS!$B$4*G45</f>
        <v>225.89574379905568</v>
      </c>
      <c r="I45" s="11">
        <f t="shared" si="2"/>
        <v>3.0424119143753495E-2</v>
      </c>
      <c r="J45" s="38"/>
      <c r="K45" s="112">
        <f t="shared" si="3"/>
        <v>3296.3528948924954</v>
      </c>
      <c r="L45" s="112">
        <f t="shared" si="4"/>
        <v>247.22646711693716</v>
      </c>
      <c r="M45" s="133">
        <f t="shared" si="5"/>
        <v>2.4370418796594646E-2</v>
      </c>
      <c r="N45" s="10">
        <f>PARAMETERS!$B$15*D45</f>
        <v>2.9126394618292983</v>
      </c>
      <c r="O45" s="13">
        <f t="shared" si="6"/>
        <v>859.4097218861034</v>
      </c>
      <c r="P45" s="4">
        <f>PARAMETERS!$B$9*O45</f>
        <v>1.8819190990206645</v>
      </c>
      <c r="Q45" s="8">
        <f>MAX(PARAMETERS!$B$6,PARAMETERS!$B$6+PARAMETERS!$B$10*(P45-PARAMETERS!$B$11))</f>
        <v>3.5728786485309964E-2</v>
      </c>
      <c r="R45" s="155">
        <f>PARAMETERS!$B$4/DECARBONISATION!Q45</f>
        <v>2.0991477007156836</v>
      </c>
      <c r="S45" s="47"/>
      <c r="T45" s="1"/>
      <c r="U45" s="6"/>
      <c r="V45" s="12"/>
      <c r="W45" s="6"/>
      <c r="X45" s="1"/>
      <c r="Y45" s="1"/>
      <c r="Z45" s="1"/>
      <c r="AA45" s="1"/>
      <c r="AB45" s="1"/>
    </row>
    <row r="46" spans="1:28" s="2" customFormat="1" ht="20.149999999999999" customHeight="1" x14ac:dyDescent="0.35">
      <c r="A46" s="1">
        <v>2058</v>
      </c>
      <c r="B46" s="39"/>
      <c r="C46" s="13">
        <f t="shared" si="0"/>
        <v>274.24803278506232</v>
      </c>
      <c r="D46" s="13">
        <f>PARAMETERS!$B$4*C46</f>
        <v>20.568602458879674</v>
      </c>
      <c r="E46" s="37">
        <f t="shared" si="1"/>
        <v>-3.572878648530986E-2</v>
      </c>
      <c r="F46" s="43"/>
      <c r="G46" s="13">
        <f>G45+PARAMETERS!$B$5*L45-Q45*G45</f>
        <v>3102.1113470391351</v>
      </c>
      <c r="H46" s="13">
        <f>PARAMETERS!$B$4*G46</f>
        <v>232.65835102793511</v>
      </c>
      <c r="I46" s="11">
        <f t="shared" si="2"/>
        <v>2.9936851023165234E-2</v>
      </c>
      <c r="J46" s="38"/>
      <c r="K46" s="112">
        <f t="shared" si="3"/>
        <v>3376.3593798241973</v>
      </c>
      <c r="L46" s="112">
        <f t="shared" si="4"/>
        <v>253.22695348681478</v>
      </c>
      <c r="M46" s="133">
        <f t="shared" si="5"/>
        <v>2.4271213514689808E-2</v>
      </c>
      <c r="N46" s="10">
        <f>PARAMETERS!$B$15*D46</f>
        <v>2.8085743883889114</v>
      </c>
      <c r="O46" s="13">
        <f t="shared" si="6"/>
        <v>862.32236134793266</v>
      </c>
      <c r="P46" s="4">
        <f>PARAMETERS!$B$9*O46</f>
        <v>1.8882971416378089</v>
      </c>
      <c r="Q46" s="8">
        <f>MAX(PARAMETERS!$B$6,PARAMETERS!$B$6+PARAMETERS!$B$10*(P46-PARAMETERS!$B$11))</f>
        <v>3.5824457124567131E-2</v>
      </c>
      <c r="R46" s="155">
        <f>PARAMETERS!$B$4/DECARBONISATION!Q46</f>
        <v>2.0935418431942594</v>
      </c>
      <c r="S46" s="47"/>
      <c r="T46" s="1"/>
      <c r="U46" s="6"/>
      <c r="V46" s="12"/>
      <c r="W46" s="6"/>
      <c r="X46" s="6"/>
      <c r="Y46" s="1"/>
      <c r="Z46" s="1"/>
      <c r="AA46" s="1"/>
      <c r="AB46" s="1"/>
    </row>
    <row r="47" spans="1:28" s="2" customFormat="1" ht="20.149999999999999" customHeight="1" x14ac:dyDescent="0.35">
      <c r="A47" s="1">
        <v>2059</v>
      </c>
      <c r="B47" s="39"/>
      <c r="C47" s="13">
        <f t="shared" si="0"/>
        <v>264.42324589305696</v>
      </c>
      <c r="D47" s="13">
        <f>PARAMETERS!$B$4*C47</f>
        <v>19.83174344197927</v>
      </c>
      <c r="E47" s="37">
        <f t="shared" si="1"/>
        <v>-3.5824457124567263E-2</v>
      </c>
      <c r="F47" s="43"/>
      <c r="G47" s="13">
        <f>G46+PARAMETERS!$B$5*L46-Q46*G46</f>
        <v>3193.5614548809504</v>
      </c>
      <c r="H47" s="13">
        <f>PARAMETERS!$B$4*G47</f>
        <v>239.51710911607125</v>
      </c>
      <c r="I47" s="11">
        <f t="shared" si="2"/>
        <v>2.947995658798689E-2</v>
      </c>
      <c r="J47" s="38"/>
      <c r="K47" s="112">
        <f t="shared" si="3"/>
        <v>3457.9847007740073</v>
      </c>
      <c r="L47" s="112">
        <f t="shared" si="4"/>
        <v>259.34885255805051</v>
      </c>
      <c r="M47" s="133">
        <f t="shared" si="5"/>
        <v>2.4175542875432852E-2</v>
      </c>
      <c r="N47" s="10">
        <f>PARAMETERS!$B$15*D47</f>
        <v>2.7079587356309149</v>
      </c>
      <c r="O47" s="13">
        <f t="shared" si="6"/>
        <v>865.13093573632159</v>
      </c>
      <c r="P47" s="4">
        <f>PARAMETERS!$B$9*O47</f>
        <v>1.8944473045320913</v>
      </c>
      <c r="Q47" s="8">
        <f>MAX(PARAMETERS!$B$6,PARAMETERS!$B$6+PARAMETERS!$B$10*(P47-PARAMETERS!$B$11))</f>
        <v>3.5916709567981368E-2</v>
      </c>
      <c r="R47" s="155">
        <f>PARAMETERS!$B$4/DECARBONISATION!Q47</f>
        <v>2.088164559118193</v>
      </c>
      <c r="S47" s="47"/>
      <c r="T47" s="1"/>
      <c r="U47" s="6"/>
      <c r="V47" s="12"/>
      <c r="W47" s="6"/>
      <c r="X47" s="6"/>
      <c r="Y47" s="6"/>
      <c r="Z47" s="1"/>
      <c r="AA47" s="1"/>
      <c r="AB47" s="1"/>
    </row>
    <row r="48" spans="1:28" s="2" customFormat="1" ht="20.149999999999999" customHeight="1" x14ac:dyDescent="0.35">
      <c r="A48" s="1">
        <v>2060</v>
      </c>
      <c r="B48" s="39"/>
      <c r="C48" s="13">
        <f t="shared" si="0"/>
        <v>254.92603296729311</v>
      </c>
      <c r="D48" s="13">
        <f>PARAMETERS!$B$4*C48</f>
        <v>19.119452472546982</v>
      </c>
      <c r="E48" s="37">
        <f t="shared" si="1"/>
        <v>-3.5916709567981361E-2</v>
      </c>
      <c r="F48" s="43"/>
      <c r="G48" s="13">
        <f>G47+PARAMETERS!$B$5*L47-Q47*G47</f>
        <v>3286.3383176649318</v>
      </c>
      <c r="H48" s="13">
        <f>PARAMETERS!$B$4*G48</f>
        <v>246.47537382486988</v>
      </c>
      <c r="I48" s="11">
        <f t="shared" si="2"/>
        <v>2.9051221996114738E-2</v>
      </c>
      <c r="J48" s="38"/>
      <c r="K48" s="112">
        <f t="shared" si="3"/>
        <v>3541.2643506322247</v>
      </c>
      <c r="L48" s="112">
        <f t="shared" si="4"/>
        <v>265.59482629741683</v>
      </c>
      <c r="M48" s="133">
        <f t="shared" si="5"/>
        <v>2.4083290432018678E-2</v>
      </c>
      <c r="N48" s="10">
        <f>PARAMETERS!$B$15*D48</f>
        <v>2.6106977682011814</v>
      </c>
      <c r="O48" s="13">
        <f t="shared" si="6"/>
        <v>867.83889447195247</v>
      </c>
      <c r="P48" s="4">
        <f>PARAMETERS!$B$9*O48</f>
        <v>1.9003771411794581</v>
      </c>
      <c r="Q48" s="8">
        <f>MAX(PARAMETERS!$B$6,PARAMETERS!$B$6+PARAMETERS!$B$10*(P48-PARAMETERS!$B$11))</f>
        <v>3.6005657117691867E-2</v>
      </c>
      <c r="R48" s="155">
        <f>PARAMETERS!$B$4/DECARBONISATION!Q48</f>
        <v>2.0830060052743136</v>
      </c>
      <c r="S48" s="47"/>
      <c r="T48" s="1"/>
      <c r="U48" s="1"/>
      <c r="V48" s="5"/>
      <c r="W48" s="1"/>
      <c r="X48" s="6"/>
      <c r="Y48" s="6"/>
      <c r="Z48" s="1"/>
      <c r="AA48" s="1"/>
      <c r="AB48" s="1"/>
    </row>
    <row r="49" spans="1:28" s="2" customFormat="1" ht="20.149999999999999" customHeight="1" x14ac:dyDescent="0.35">
      <c r="A49" s="1">
        <v>2061</v>
      </c>
      <c r="B49" s="39"/>
      <c r="C49" s="13">
        <f t="shared" si="0"/>
        <v>245.74725363389933</v>
      </c>
      <c r="D49" s="13">
        <f>PARAMETERS!$B$4*C49</f>
        <v>18.431044022542448</v>
      </c>
      <c r="E49" s="37">
        <f t="shared" si="1"/>
        <v>-3.6005657117691943E-2</v>
      </c>
      <c r="F49" s="43"/>
      <c r="G49" s="13">
        <f>G48+PARAMETERS!$B$5*L48-Q48*G48</f>
        <v>3380.4874080642894</v>
      </c>
      <c r="H49" s="13">
        <f>PARAMETERS!$B$4*G49</f>
        <v>253.5365556048217</v>
      </c>
      <c r="I49" s="11">
        <f t="shared" si="2"/>
        <v>2.8648629964018481E-2</v>
      </c>
      <c r="J49" s="38"/>
      <c r="K49" s="112">
        <f t="shared" si="3"/>
        <v>3626.2346616981886</v>
      </c>
      <c r="L49" s="112">
        <f t="shared" si="4"/>
        <v>271.96759962736417</v>
      </c>
      <c r="M49" s="133">
        <f t="shared" si="5"/>
        <v>2.3994342882308312E-2</v>
      </c>
      <c r="N49" s="10">
        <f>PARAMETERS!$B$15*D49</f>
        <v>2.5166978795214061</v>
      </c>
      <c r="O49" s="13">
        <f t="shared" si="6"/>
        <v>870.44959224015361</v>
      </c>
      <c r="P49" s="4">
        <f>PARAMETERS!$B$9*O49</f>
        <v>1.9060939976061759</v>
      </c>
      <c r="Q49" s="8">
        <f>MAX(PARAMETERS!$B$6,PARAMETERS!$B$6+PARAMETERS!$B$10*(P49-PARAMETERS!$B$11))</f>
        <v>3.6091409964092637E-2</v>
      </c>
      <c r="R49" s="155">
        <f>PARAMETERS!$B$4/DECARBONISATION!Q49</f>
        <v>2.0780568028408295</v>
      </c>
      <c r="S49" s="47"/>
      <c r="T49" s="1"/>
      <c r="U49" s="1"/>
      <c r="V49" s="5"/>
      <c r="W49" s="1"/>
      <c r="X49" s="1"/>
      <c r="Y49" s="6"/>
      <c r="Z49" s="1"/>
      <c r="AA49" s="1"/>
      <c r="AB49" s="1"/>
    </row>
    <row r="50" spans="1:28" s="2" customFormat="1" ht="20.149999999999999" customHeight="1" x14ac:dyDescent="0.35">
      <c r="A50" s="1">
        <v>2062</v>
      </c>
      <c r="B50" s="39"/>
      <c r="C50" s="13">
        <f t="shared" si="0"/>
        <v>236.87788875544842</v>
      </c>
      <c r="D50" s="13">
        <f>PARAMETERS!$B$4*C50</f>
        <v>17.76584165665863</v>
      </c>
      <c r="E50" s="37">
        <f t="shared" si="1"/>
        <v>-3.6091409964092616E-2</v>
      </c>
      <c r="F50" s="43"/>
      <c r="G50" s="13">
        <f>G49+PARAMETERS!$B$5*L49-Q49*G49</f>
        <v>3476.0549308432792</v>
      </c>
      <c r="H50" s="13">
        <f>PARAMETERS!$B$4*G50</f>
        <v>260.70411981324594</v>
      </c>
      <c r="I50" s="11">
        <f t="shared" si="2"/>
        <v>2.8270338339675415E-2</v>
      </c>
      <c r="J50" s="38"/>
      <c r="K50" s="112">
        <f t="shared" si="3"/>
        <v>3712.9328195987277</v>
      </c>
      <c r="L50" s="112">
        <f t="shared" si="4"/>
        <v>278.46996146990455</v>
      </c>
      <c r="M50" s="133">
        <f t="shared" si="5"/>
        <v>2.3908590035907139E-2</v>
      </c>
      <c r="N50" s="10">
        <f>PARAMETERS!$B$15*D50</f>
        <v>2.4258667045958364</v>
      </c>
      <c r="O50" s="13">
        <f t="shared" si="6"/>
        <v>872.96629011967502</v>
      </c>
      <c r="P50" s="4">
        <f>PARAMETERS!$B$9*O50</f>
        <v>1.9116050148606023</v>
      </c>
      <c r="Q50" s="8">
        <f>MAX(PARAMETERS!$B$6,PARAMETERS!$B$6+PARAMETERS!$B$10*(P50-PARAMETERS!$B$11))</f>
        <v>3.6174075222909031E-2</v>
      </c>
      <c r="R50" s="155">
        <f>PARAMETERS!$B$4/DECARBONISATION!Q50</f>
        <v>2.0733080123773977</v>
      </c>
      <c r="S50" s="47"/>
      <c r="T50" s="1"/>
      <c r="U50" s="1"/>
      <c r="V50" s="5"/>
      <c r="W50" s="1"/>
      <c r="X50" s="1"/>
      <c r="Y50" s="1"/>
      <c r="Z50" s="1"/>
      <c r="AA50" s="1"/>
      <c r="AB50" s="1"/>
    </row>
    <row r="51" spans="1:28" s="2" customFormat="1" ht="20.149999999999999" customHeight="1" x14ac:dyDescent="0.35">
      <c r="A51" s="1">
        <v>2063</v>
      </c>
      <c r="B51" s="39"/>
      <c r="C51" s="13">
        <f t="shared" si="0"/>
        <v>228.30905018896496</v>
      </c>
      <c r="D51" s="13">
        <f>PARAMETERS!$B$4*C51</f>
        <v>17.123178764172373</v>
      </c>
      <c r="E51" s="37">
        <f t="shared" si="1"/>
        <v>-3.6174075222908858E-2</v>
      </c>
      <c r="F51" s="43"/>
      <c r="G51" s="13">
        <f>G50+PARAMETERS!$B$5*L50-Q50*G50</f>
        <v>3573.0878274719144</v>
      </c>
      <c r="H51" s="13">
        <f>PARAMETERS!$B$4*G51</f>
        <v>267.98158706039357</v>
      </c>
      <c r="I51" s="11">
        <f t="shared" si="2"/>
        <v>2.7914661465115332E-2</v>
      </c>
      <c r="J51" s="38"/>
      <c r="K51" s="112">
        <f t="shared" si="3"/>
        <v>3801.3968776608795</v>
      </c>
      <c r="L51" s="112">
        <f t="shared" si="4"/>
        <v>285.10476582456596</v>
      </c>
      <c r="M51" s="133">
        <f t="shared" si="5"/>
        <v>2.3825924777091133E-2</v>
      </c>
      <c r="N51" s="10">
        <f>PARAMETERS!$B$15*D51</f>
        <v>2.3381132199430366</v>
      </c>
      <c r="O51" s="13">
        <f t="shared" si="6"/>
        <v>875.39215682427084</v>
      </c>
      <c r="P51" s="4">
        <f>PARAMETERS!$B$9*O51</f>
        <v>1.9169171317319802</v>
      </c>
      <c r="Q51" s="8">
        <f>MAX(PARAMETERS!$B$6,PARAMETERS!$B$6+PARAMETERS!$B$10*(P51-PARAMETERS!$B$11))</f>
        <v>3.6253756975979698E-2</v>
      </c>
      <c r="R51" s="155">
        <f>PARAMETERS!$B$4/DECARBONISATION!Q51</f>
        <v>2.0687511103936629</v>
      </c>
      <c r="S51" s="47"/>
      <c r="T51" s="1"/>
      <c r="U51" s="1"/>
      <c r="V51" s="5"/>
      <c r="W51" s="1"/>
      <c r="X51" s="1"/>
      <c r="Y51" s="1"/>
      <c r="Z51" s="1"/>
      <c r="AA51" s="1"/>
      <c r="AB51" s="1"/>
    </row>
    <row r="52" spans="1:28" s="2" customFormat="1" ht="20.149999999999999" customHeight="1" x14ac:dyDescent="0.35">
      <c r="A52" s="1">
        <v>2064</v>
      </c>
      <c r="B52" s="39"/>
      <c r="C52" s="13">
        <f t="shared" si="0"/>
        <v>220.03198936799748</v>
      </c>
      <c r="D52" s="13">
        <f>PARAMETERS!$B$4*C52</f>
        <v>16.502399202599811</v>
      </c>
      <c r="E52" s="37">
        <f t="shared" si="1"/>
        <v>-3.6253756975979698E-2</v>
      </c>
      <c r="F52" s="43"/>
      <c r="G52" s="13">
        <f>G51+PARAMETERS!$B$5*L51-Q51*G51</f>
        <v>3671.6337823805688</v>
      </c>
      <c r="H52" s="13">
        <f>PARAMETERS!$B$4*G52</f>
        <v>275.37253367854265</v>
      </c>
      <c r="I52" s="11">
        <f t="shared" si="2"/>
        <v>2.7580053910507774E-2</v>
      </c>
      <c r="J52" s="38"/>
      <c r="K52" s="112">
        <f t="shared" si="3"/>
        <v>3891.6657717485664</v>
      </c>
      <c r="L52" s="112">
        <f t="shared" si="4"/>
        <v>291.87493288114246</v>
      </c>
      <c r="M52" s="133">
        <f t="shared" si="5"/>
        <v>2.3746243024020147E-2</v>
      </c>
      <c r="N52" s="10">
        <f>PARAMETERS!$B$15*D52</f>
        <v>2.2533478314848967</v>
      </c>
      <c r="O52" s="13">
        <f t="shared" si="6"/>
        <v>877.73027004421385</v>
      </c>
      <c r="P52" s="4">
        <f>PARAMETERS!$B$9*O52</f>
        <v>1.9220370876880597</v>
      </c>
      <c r="Q52" s="8">
        <f>MAX(PARAMETERS!$B$6,PARAMETERS!$B$6+PARAMETERS!$B$10*(P52-PARAMETERS!$B$11))</f>
        <v>3.6330556315320894E-2</v>
      </c>
      <c r="R52" s="155">
        <f>PARAMETERS!$B$4/DECARBONISATION!Q52</f>
        <v>2.0643779673798135</v>
      </c>
      <c r="S52" s="47"/>
      <c r="T52" s="1"/>
      <c r="U52" s="1"/>
      <c r="V52" s="5"/>
      <c r="W52" s="1"/>
      <c r="X52" s="1"/>
      <c r="Y52" s="1"/>
      <c r="Z52" s="1"/>
      <c r="AA52" s="1"/>
      <c r="AB52" s="1"/>
    </row>
    <row r="53" spans="1:28" s="2" customFormat="1" ht="20.149999999999999" customHeight="1" x14ac:dyDescent="0.35">
      <c r="A53" s="1">
        <v>2065</v>
      </c>
      <c r="B53" s="39"/>
      <c r="C53" s="13">
        <f t="shared" si="0"/>
        <v>212.03810478709136</v>
      </c>
      <c r="D53" s="13">
        <f>PARAMETERS!$B$4*C53</f>
        <v>15.902857859031851</v>
      </c>
      <c r="E53" s="37">
        <f t="shared" si="1"/>
        <v>-3.6330556315320964E-2</v>
      </c>
      <c r="F53" s="43"/>
      <c r="G53" s="13">
        <f>G52+PARAMETERS!$B$5*L52-Q52*G52</f>
        <v>3771.7412307854711</v>
      </c>
      <c r="H53" s="13">
        <f>PARAMETERS!$B$4*G53</f>
        <v>282.88059230891031</v>
      </c>
      <c r="I53" s="11">
        <f t="shared" si="2"/>
        <v>2.7265096231900245E-2</v>
      </c>
      <c r="J53" s="38"/>
      <c r="K53" s="112">
        <f t="shared" si="3"/>
        <v>3983.7793355725626</v>
      </c>
      <c r="L53" s="112">
        <f t="shared" si="4"/>
        <v>298.78345016794214</v>
      </c>
      <c r="M53" s="133">
        <f t="shared" si="5"/>
        <v>2.3669443684679051E-2</v>
      </c>
      <c r="N53" s="10">
        <f>PARAMETERS!$B$15*D53</f>
        <v>2.1714824511951281</v>
      </c>
      <c r="O53" s="13">
        <f t="shared" si="6"/>
        <v>879.98361787569877</v>
      </c>
      <c r="P53" s="4">
        <f>PARAMETERS!$B$9*O53</f>
        <v>1.92697142600518</v>
      </c>
      <c r="Q53" s="8">
        <f>MAX(PARAMETERS!$B$6,PARAMETERS!$B$6+PARAMETERS!$B$10*(P53-PARAMETERS!$B$11))</f>
        <v>3.6404571390077696E-2</v>
      </c>
      <c r="R53" s="155">
        <f>PARAMETERS!$B$4/DECARBONISATION!Q53</f>
        <v>2.0601808271925361</v>
      </c>
      <c r="S53" s="47"/>
      <c r="T53" s="1"/>
      <c r="U53" s="1"/>
      <c r="V53" s="5"/>
      <c r="W53" s="1"/>
      <c r="X53" s="1"/>
      <c r="Y53" s="1"/>
      <c r="Z53" s="1"/>
      <c r="AA53" s="1"/>
      <c r="AB53" s="1"/>
    </row>
    <row r="54" spans="1:28" s="2" customFormat="1" ht="20.149999999999999" customHeight="1" x14ac:dyDescent="0.35">
      <c r="A54" s="1">
        <v>2066</v>
      </c>
      <c r="B54" s="39"/>
      <c r="C54" s="13">
        <f t="shared" si="0"/>
        <v>204.31894846395292</v>
      </c>
      <c r="D54" s="13">
        <f>PARAMETERS!$B$4*C54</f>
        <v>15.323921134796468</v>
      </c>
      <c r="E54" s="37">
        <f t="shared" si="1"/>
        <v>-3.640457139007771E-2</v>
      </c>
      <c r="F54" s="43"/>
      <c r="G54" s="13">
        <f>G53+PARAMETERS!$B$5*L53-Q53*G53</f>
        <v>3873.4593680187959</v>
      </c>
      <c r="H54" s="13">
        <f>PARAMETERS!$B$4*G54</f>
        <v>290.50945260140969</v>
      </c>
      <c r="I54" s="11">
        <f t="shared" si="2"/>
        <v>2.6968482461916441E-2</v>
      </c>
      <c r="J54" s="38"/>
      <c r="K54" s="112">
        <f t="shared" si="3"/>
        <v>4077.7783164827488</v>
      </c>
      <c r="L54" s="112">
        <f t="shared" si="4"/>
        <v>305.83337373620617</v>
      </c>
      <c r="M54" s="133">
        <f t="shared" si="5"/>
        <v>2.3595428609922565E-2</v>
      </c>
      <c r="N54" s="10">
        <f>PARAMETERS!$B$15*D54</f>
        <v>2.092430563278294</v>
      </c>
      <c r="O54" s="13">
        <f t="shared" si="6"/>
        <v>882.15510032689394</v>
      </c>
      <c r="P54" s="4">
        <f>PARAMETERS!$B$9*O54</f>
        <v>1.9317264970661914</v>
      </c>
      <c r="Q54" s="8">
        <f>MAX(PARAMETERS!$B$6,PARAMETERS!$B$6+PARAMETERS!$B$10*(P54-PARAMETERS!$B$11))</f>
        <v>3.6475897455992869E-2</v>
      </c>
      <c r="R54" s="155">
        <f>PARAMETERS!$B$4/DECARBONISATION!Q54</f>
        <v>2.0561522876986196</v>
      </c>
      <c r="S54" s="47"/>
      <c r="T54" s="6"/>
      <c r="U54" s="6"/>
      <c r="V54" s="12"/>
      <c r="W54" s="6"/>
      <c r="X54" s="1"/>
      <c r="Y54" s="1"/>
      <c r="Z54" s="1"/>
      <c r="AA54" s="1"/>
      <c r="AB54" s="1"/>
    </row>
    <row r="55" spans="1:28" s="2" customFormat="1" ht="20.149999999999999" customHeight="1" x14ac:dyDescent="0.35">
      <c r="A55" s="1">
        <v>2067</v>
      </c>
      <c r="B55" s="39"/>
      <c r="C55" s="13">
        <f t="shared" si="0"/>
        <v>196.8662314514655</v>
      </c>
      <c r="D55" s="13">
        <f>PARAMETERS!$B$4*C55</f>
        <v>14.764967358859911</v>
      </c>
      <c r="E55" s="37">
        <f t="shared" si="1"/>
        <v>-3.6475897455992785E-2</v>
      </c>
      <c r="F55" s="43"/>
      <c r="G55" s="13">
        <f>G54+PARAMETERS!$B$5*L54-Q54*G54</f>
        <v>3976.8381602999525</v>
      </c>
      <c r="H55" s="13">
        <f>PARAMETERS!$B$4*G55</f>
        <v>298.26286202249645</v>
      </c>
      <c r="I55" s="11">
        <f t="shared" si="2"/>
        <v>2.6689009089575954E-2</v>
      </c>
      <c r="J55" s="38"/>
      <c r="K55" s="112">
        <f t="shared" si="3"/>
        <v>4173.7043917514184</v>
      </c>
      <c r="L55" s="112">
        <f t="shared" si="4"/>
        <v>313.02782938135636</v>
      </c>
      <c r="M55" s="133">
        <f t="shared" si="5"/>
        <v>2.3524102544007178E-2</v>
      </c>
      <c r="N55" s="10">
        <f>PARAMETERS!$B$15*D55</f>
        <v>2.0161072806183697</v>
      </c>
      <c r="O55" s="13">
        <f t="shared" si="6"/>
        <v>884.24753089017224</v>
      </c>
      <c r="P55" s="4">
        <f>PARAMETERS!$B$9*O55</f>
        <v>1.9363084618032971</v>
      </c>
      <c r="Q55" s="8">
        <f>MAX(PARAMETERS!$B$6,PARAMETERS!$B$6+PARAMETERS!$B$10*(P55-PARAMETERS!$B$11))</f>
        <v>3.6544626927049455E-2</v>
      </c>
      <c r="R55" s="155">
        <f>PARAMETERS!$B$4/DECARBONISATION!Q55</f>
        <v>2.0522852825865572</v>
      </c>
      <c r="S55" s="47"/>
      <c r="T55" s="6"/>
      <c r="U55" s="1"/>
      <c r="V55" s="5"/>
      <c r="W55" s="1"/>
      <c r="X55" s="6"/>
      <c r="Y55" s="1"/>
      <c r="Z55" s="1"/>
      <c r="AA55" s="1"/>
      <c r="AB55" s="1"/>
    </row>
    <row r="56" spans="1:28" s="2" customFormat="1" ht="20.149999999999999" customHeight="1" x14ac:dyDescent="0.35">
      <c r="A56" s="1">
        <v>2068</v>
      </c>
      <c r="B56" s="39"/>
      <c r="C56" s="13">
        <f t="shared" si="0"/>
        <v>189.67182846853751</v>
      </c>
      <c r="D56" s="13">
        <f>PARAMETERS!$B$4*C56</f>
        <v>14.225387135140313</v>
      </c>
      <c r="E56" s="37">
        <f t="shared" si="1"/>
        <v>-3.6544626927049469E-2</v>
      </c>
      <c r="F56" s="43"/>
      <c r="G56" s="13">
        <f>G55+PARAMETERS!$B$5*L55-Q55*G55</f>
        <v>4081.9283568876217</v>
      </c>
      <c r="H56" s="13">
        <f>PARAMETERS!$B$4*G56</f>
        <v>306.14462676657161</v>
      </c>
      <c r="I56" s="11">
        <f t="shared" si="2"/>
        <v>2.6425565323921135E-2</v>
      </c>
      <c r="J56" s="38"/>
      <c r="K56" s="112">
        <f t="shared" si="3"/>
        <v>4271.6001853561593</v>
      </c>
      <c r="L56" s="112">
        <f t="shared" si="4"/>
        <v>320.3700139017119</v>
      </c>
      <c r="M56" s="133">
        <f t="shared" si="5"/>
        <v>2.3455373072950293E-2</v>
      </c>
      <c r="N56" s="10">
        <f>PARAMETERS!$B$15*D56</f>
        <v>1.9424293922032634</v>
      </c>
      <c r="O56" s="13">
        <f t="shared" si="6"/>
        <v>886.26363817079061</v>
      </c>
      <c r="P56" s="4">
        <f>PARAMETERS!$B$9*O56</f>
        <v>1.9407232952645053</v>
      </c>
      <c r="Q56" s="8">
        <f>MAX(PARAMETERS!$B$6,PARAMETERS!$B$6+PARAMETERS!$B$10*(P56-PARAMETERS!$B$11))</f>
        <v>3.6610849428967578E-2</v>
      </c>
      <c r="R56" s="155">
        <f>PARAMETERS!$B$4/DECARBONISATION!Q56</f>
        <v>2.0485730642637807</v>
      </c>
      <c r="S56" s="47"/>
      <c r="T56" s="6"/>
      <c r="U56" s="1"/>
      <c r="V56" s="5"/>
      <c r="W56" s="1"/>
      <c r="X56" s="1"/>
      <c r="Y56" s="6"/>
      <c r="Z56" s="1"/>
      <c r="AA56" s="1"/>
      <c r="AB56" s="1"/>
    </row>
    <row r="57" spans="1:28" s="2" customFormat="1" ht="20.149999999999999" customHeight="1" x14ac:dyDescent="0.35">
      <c r="A57" s="1">
        <v>2069</v>
      </c>
      <c r="B57" s="39"/>
      <c r="C57" s="13">
        <f t="shared" si="0"/>
        <v>182.72778171555893</v>
      </c>
      <c r="D57" s="13">
        <f>PARAMETERS!$B$4*C57</f>
        <v>13.704583628666919</v>
      </c>
      <c r="E57" s="37">
        <f t="shared" si="1"/>
        <v>-3.6610849428967529E-2</v>
      </c>
      <c r="F57" s="43"/>
      <c r="G57" s="13">
        <f>G56+PARAMETERS!$B$5*L56-Q56*G56</f>
        <v>4188.7815035551457</v>
      </c>
      <c r="H57" s="13">
        <f>PARAMETERS!$B$4*G57</f>
        <v>314.15861276663594</v>
      </c>
      <c r="I57" s="11">
        <f t="shared" si="2"/>
        <v>2.6177124467955531E-2</v>
      </c>
      <c r="J57" s="38"/>
      <c r="K57" s="112">
        <f t="shared" si="3"/>
        <v>4371.5092852707048</v>
      </c>
      <c r="L57" s="112">
        <f t="shared" si="4"/>
        <v>327.86319639530285</v>
      </c>
      <c r="M57" s="133">
        <f t="shared" si="5"/>
        <v>2.3389150571032611E-2</v>
      </c>
      <c r="N57" s="10">
        <f>PARAMETERS!$B$15*D57</f>
        <v>1.8713154021989087</v>
      </c>
      <c r="O57" s="13">
        <f t="shared" si="6"/>
        <v>888.20606756299389</v>
      </c>
      <c r="P57" s="4">
        <f>PARAMETERS!$B$9*O57</f>
        <v>1.9449767902839283</v>
      </c>
      <c r="Q57" s="8">
        <f>MAX(PARAMETERS!$B$6,PARAMETERS!$B$6+PARAMETERS!$B$10*(P57-PARAMETERS!$B$11))</f>
        <v>3.6674651854258923E-2</v>
      </c>
      <c r="R57" s="155">
        <f>PARAMETERS!$B$4/DECARBONISATION!Q57</f>
        <v>2.0450091877638497</v>
      </c>
      <c r="S57" s="47"/>
      <c r="T57" s="1"/>
      <c r="U57" s="1"/>
      <c r="V57" s="5"/>
      <c r="W57" s="1"/>
      <c r="X57" s="1"/>
      <c r="Y57" s="1"/>
      <c r="Z57" s="1"/>
      <c r="AA57" s="1"/>
      <c r="AB57" s="1"/>
    </row>
    <row r="58" spans="1:28" s="2" customFormat="1" ht="20.149999999999999" customHeight="1" x14ac:dyDescent="0.35">
      <c r="A58" s="1">
        <v>2070</v>
      </c>
      <c r="B58" s="39"/>
      <c r="C58" s="13">
        <f t="shared" si="0"/>
        <v>176.02630393703978</v>
      </c>
      <c r="D58" s="13">
        <f>PARAMETERS!$B$4*C58</f>
        <v>13.201972795277984</v>
      </c>
      <c r="E58" s="37">
        <f t="shared" si="1"/>
        <v>-3.6674651854258902E-2</v>
      </c>
      <c r="F58" s="43"/>
      <c r="G58" s="13">
        <f>G57+PARAMETERS!$B$5*L57-Q57*G57</f>
        <v>4297.4499573349431</v>
      </c>
      <c r="H58" s="13">
        <f>PARAMETERS!$B$4*G58</f>
        <v>322.30874680012073</v>
      </c>
      <c r="I58" s="11">
        <f t="shared" si="2"/>
        <v>2.5942736255774378E-2</v>
      </c>
      <c r="J58" s="38"/>
      <c r="K58" s="112">
        <f t="shared" si="3"/>
        <v>4473.4762612719833</v>
      </c>
      <c r="L58" s="112">
        <f t="shared" si="4"/>
        <v>335.51071959539871</v>
      </c>
      <c r="M58" s="133">
        <f t="shared" si="5"/>
        <v>2.3325348145740898E-2</v>
      </c>
      <c r="N58" s="10">
        <f>PARAMETERS!$B$15*D58</f>
        <v>1.8026855613137514</v>
      </c>
      <c r="O58" s="13">
        <f t="shared" si="6"/>
        <v>890.07738296519278</v>
      </c>
      <c r="P58" s="4">
        <f>PARAMETERS!$B$9*O58</f>
        <v>1.9490745612376486</v>
      </c>
      <c r="Q58" s="8">
        <f>MAX(PARAMETERS!$B$6,PARAMETERS!$B$6+PARAMETERS!$B$10*(P58-PARAMETERS!$B$11))</f>
        <v>3.673611841856473E-2</v>
      </c>
      <c r="R58" s="155">
        <f>PARAMETERS!$B$4/DECARBONISATION!Q58</f>
        <v>2.0415874955939404</v>
      </c>
      <c r="S58" s="47"/>
      <c r="T58" s="1"/>
      <c r="U58" s="1"/>
      <c r="V58" s="5"/>
      <c r="W58" s="1"/>
      <c r="X58" s="1"/>
      <c r="Y58" s="1"/>
      <c r="Z58" s="1"/>
      <c r="AA58" s="1"/>
      <c r="AB58" s="1"/>
    </row>
    <row r="59" spans="1:28" s="2" customFormat="1" ht="20.149999999999999" customHeight="1" x14ac:dyDescent="0.35">
      <c r="A59" s="1">
        <v>2071</v>
      </c>
      <c r="B59" s="39"/>
      <c r="C59" s="13">
        <f t="shared" si="0"/>
        <v>169.55978079082644</v>
      </c>
      <c r="D59" s="13">
        <f>PARAMETERS!$B$4*C59</f>
        <v>12.716983559311982</v>
      </c>
      <c r="E59" s="37">
        <f t="shared" si="1"/>
        <v>-3.673611841856466E-2</v>
      </c>
      <c r="F59" s="43"/>
      <c r="G59" s="13">
        <f>G58+PARAMETERS!$B$5*L58-Q58*G58</f>
        <v>4407.9869024807494</v>
      </c>
      <c r="H59" s="13">
        <f>PARAMETERS!$B$4*G59</f>
        <v>330.59901768605619</v>
      </c>
      <c r="I59" s="11">
        <f t="shared" si="2"/>
        <v>2.5721520027741147E-2</v>
      </c>
      <c r="J59" s="38"/>
      <c r="K59" s="112">
        <f t="shared" si="3"/>
        <v>4577.5466832715756</v>
      </c>
      <c r="L59" s="112">
        <f t="shared" si="4"/>
        <v>343.31600124536817</v>
      </c>
      <c r="M59" s="133">
        <f t="shared" si="5"/>
        <v>2.3263881581435178E-2</v>
      </c>
      <c r="N59" s="10">
        <f>PARAMETERS!$B$15*D59</f>
        <v>1.7364618910618925</v>
      </c>
      <c r="O59" s="13">
        <f t="shared" si="6"/>
        <v>891.88006852650653</v>
      </c>
      <c r="P59" s="4">
        <f>PARAMETERS!$B$9*O59</f>
        <v>1.9530220478682627</v>
      </c>
      <c r="Q59" s="8">
        <f>MAX(PARAMETERS!$B$6,PARAMETERS!$B$6+PARAMETERS!$B$10*(P59-PARAMETERS!$B$11))</f>
        <v>3.679533071802394E-2</v>
      </c>
      <c r="R59" s="155">
        <f>PARAMETERS!$B$4/DECARBONISATION!Q59</f>
        <v>2.0383021034585176</v>
      </c>
      <c r="S59" s="47"/>
      <c r="T59" s="1"/>
      <c r="U59" s="1"/>
      <c r="V59" s="5"/>
      <c r="W59" s="1"/>
      <c r="X59" s="1"/>
      <c r="Y59" s="1"/>
      <c r="Z59" s="1"/>
      <c r="AA59" s="1"/>
      <c r="AB59" s="1"/>
    </row>
    <row r="60" spans="1:28" s="2" customFormat="1" ht="20.149999999999999" customHeight="1" x14ac:dyDescent="0.35">
      <c r="A60" s="1">
        <v>2072</v>
      </c>
      <c r="B60" s="39"/>
      <c r="C60" s="13">
        <f t="shared" si="0"/>
        <v>163.32077258015232</v>
      </c>
      <c r="D60" s="13">
        <f>PARAMETERS!$B$4*C60</f>
        <v>12.249057943511424</v>
      </c>
      <c r="E60" s="37">
        <f t="shared" si="1"/>
        <v>-3.6795330718023989E-2</v>
      </c>
      <c r="F60" s="43"/>
      <c r="G60" s="13">
        <f>G59+PARAMETERS!$B$5*L59-Q59*G59</f>
        <v>4520.4463675995476</v>
      </c>
      <c r="H60" s="13">
        <f>PARAMETERS!$B$4*G60</f>
        <v>339.03347756996607</v>
      </c>
      <c r="I60" s="11">
        <f t="shared" si="2"/>
        <v>2.5512658636872968E-2</v>
      </c>
      <c r="J60" s="38"/>
      <c r="K60" s="112">
        <f t="shared" si="3"/>
        <v>4683.7671401796997</v>
      </c>
      <c r="L60" s="112">
        <f t="shared" si="4"/>
        <v>351.28253551347751</v>
      </c>
      <c r="M60" s="133">
        <f t="shared" si="5"/>
        <v>2.3204669281976328E-2</v>
      </c>
      <c r="N60" s="10">
        <f>PARAMETERS!$B$15*D60</f>
        <v>1.6725682015010248</v>
      </c>
      <c r="O60" s="13">
        <f t="shared" si="6"/>
        <v>893.61653041756847</v>
      </c>
      <c r="P60" s="4">
        <f>PARAMETERS!$B$9*O60</f>
        <v>1.9568245191625588</v>
      </c>
      <c r="Q60" s="8">
        <f>MAX(PARAMETERS!$B$6,PARAMETERS!$B$6+PARAMETERS!$B$10*(P60-PARAMETERS!$B$11))</f>
        <v>3.6852367787438382E-2</v>
      </c>
      <c r="R60" s="155">
        <f>PARAMETERS!$B$4/DECARBONISATION!Q60</f>
        <v>2.0351473868000616</v>
      </c>
      <c r="S60" s="47"/>
      <c r="T60" s="1"/>
      <c r="U60" s="1"/>
      <c r="V60" s="5"/>
      <c r="W60" s="1"/>
      <c r="X60" s="1"/>
      <c r="Y60" s="1"/>
      <c r="Z60" s="1"/>
      <c r="AA60" s="1"/>
      <c r="AB60" s="1"/>
    </row>
    <row r="61" spans="1:28" s="2" customFormat="1" ht="20.149999999999999" customHeight="1" x14ac:dyDescent="0.35">
      <c r="A61" s="1">
        <v>2073</v>
      </c>
      <c r="B61" s="39"/>
      <c r="C61" s="13">
        <f t="shared" si="0"/>
        <v>157.30201540169998</v>
      </c>
      <c r="D61" s="13">
        <f>PARAMETERS!$B$4*C61</f>
        <v>11.797651155127499</v>
      </c>
      <c r="E61" s="37">
        <f t="shared" si="1"/>
        <v>-3.6852367787438306E-2</v>
      </c>
      <c r="F61" s="43"/>
      <c r="G61" s="13">
        <f>G60+PARAMETERS!$B$5*L60-Q60*G60</f>
        <v>4634.8832439081607</v>
      </c>
      <c r="H61" s="13">
        <f>PARAMETERS!$B$4*G61</f>
        <v>347.61624329311206</v>
      </c>
      <c r="I61" s="11">
        <f t="shared" si="2"/>
        <v>2.5315392995002323E-2</v>
      </c>
      <c r="J61" s="38"/>
      <c r="K61" s="112">
        <f t="shared" si="3"/>
        <v>4792.1852593098611</v>
      </c>
      <c r="L61" s="112">
        <f t="shared" si="4"/>
        <v>359.41389444823955</v>
      </c>
      <c r="M61" s="133">
        <f t="shared" si="5"/>
        <v>2.3147632212561449E-2</v>
      </c>
      <c r="N61" s="10">
        <f>PARAMETERS!$B$15*D61</f>
        <v>1.6109301029897349</v>
      </c>
      <c r="O61" s="13">
        <f t="shared" si="6"/>
        <v>895.28909861906948</v>
      </c>
      <c r="P61" s="4">
        <f>PARAMETERS!$B$9*O61</f>
        <v>1.9604870772680356</v>
      </c>
      <c r="Q61" s="8">
        <f>MAX(PARAMETERS!$B$6,PARAMETERS!$B$6+PARAMETERS!$B$10*(P61-PARAMETERS!$B$11))</f>
        <v>3.6907306159020534E-2</v>
      </c>
      <c r="R61" s="155">
        <f>PARAMETERS!$B$4/DECARBONISATION!Q61</f>
        <v>2.0321179681023458</v>
      </c>
      <c r="S61" s="47"/>
      <c r="T61" s="1"/>
      <c r="U61" s="1"/>
      <c r="V61" s="5"/>
      <c r="W61" s="1"/>
      <c r="X61" s="1"/>
      <c r="Y61" s="1"/>
      <c r="Z61" s="1"/>
      <c r="AA61" s="1"/>
      <c r="AB61" s="1"/>
    </row>
    <row r="62" spans="1:28" s="2" customFormat="1" ht="20.149999999999999" customHeight="1" x14ac:dyDescent="0.35">
      <c r="A62" s="1">
        <v>2074</v>
      </c>
      <c r="B62" s="39"/>
      <c r="C62" s="13">
        <f t="shared" si="0"/>
        <v>151.49642175983848</v>
      </c>
      <c r="D62" s="13">
        <f>PARAMETERS!$B$4*C62</f>
        <v>11.362231631987886</v>
      </c>
      <c r="E62" s="37">
        <f t="shared" si="1"/>
        <v>-3.6907306159020548E-2</v>
      </c>
      <c r="F62" s="43"/>
      <c r="G62" s="13">
        <f>G61+PARAMETERS!$B$5*L61-Q61*G61</f>
        <v>4751.3533045725189</v>
      </c>
      <c r="H62" s="13">
        <f>PARAMETERS!$B$4*G62</f>
        <v>356.3514978429389</v>
      </c>
      <c r="I62" s="11">
        <f t="shared" si="2"/>
        <v>2.5129017180193204E-2</v>
      </c>
      <c r="J62" s="38"/>
      <c r="K62" s="112">
        <f t="shared" si="3"/>
        <v>4902.849726332357</v>
      </c>
      <c r="L62" s="112">
        <f t="shared" si="4"/>
        <v>367.71372947492677</v>
      </c>
      <c r="M62" s="133">
        <f t="shared" si="5"/>
        <v>2.3092693840979228E-2</v>
      </c>
      <c r="N62" s="10">
        <f>PARAMETERS!$B$15*D62</f>
        <v>1.5514750124779102</v>
      </c>
      <c r="O62" s="13">
        <f t="shared" si="6"/>
        <v>896.90002872205923</v>
      </c>
      <c r="P62" s="4">
        <f>PARAMETERS!$B$9*O62</f>
        <v>1.9640146614351663</v>
      </c>
      <c r="Q62" s="8">
        <f>MAX(PARAMETERS!$B$6,PARAMETERS!$B$6+PARAMETERS!$B$10*(P62-PARAMETERS!$B$11))</f>
        <v>3.6960219921527496E-2</v>
      </c>
      <c r="R62" s="155">
        <f>PARAMETERS!$B$4/DECARBONISATION!Q62</f>
        <v>2.0292087049058987</v>
      </c>
      <c r="S62" s="47"/>
      <c r="T62" s="1"/>
      <c r="U62" s="1"/>
      <c r="V62" s="5"/>
      <c r="W62" s="1"/>
      <c r="X62" s="1"/>
      <c r="Y62" s="1"/>
      <c r="Z62" s="1"/>
      <c r="AA62" s="1"/>
      <c r="AB62" s="1"/>
    </row>
    <row r="63" spans="1:28" s="2" customFormat="1" ht="20.149999999999999" customHeight="1" x14ac:dyDescent="0.35">
      <c r="A63" s="1">
        <v>2075</v>
      </c>
      <c r="B63" s="39"/>
      <c r="C63" s="13">
        <f t="shared" si="0"/>
        <v>145.89708069427036</v>
      </c>
      <c r="D63" s="13">
        <f>PARAMETERS!$B$4*C63</f>
        <v>10.942281052070276</v>
      </c>
      <c r="E63" s="37">
        <f t="shared" si="1"/>
        <v>-3.6960219921527544E-2</v>
      </c>
      <c r="F63" s="43"/>
      <c r="G63" s="13">
        <f>G62+PARAMETERS!$B$5*L62-Q62*G62</f>
        <v>4869.9132250905832</v>
      </c>
      <c r="H63" s="13">
        <f>PARAMETERS!$B$4*G63</f>
        <v>365.24349188179372</v>
      </c>
      <c r="I63" s="11">
        <f t="shared" si="2"/>
        <v>2.4952874037796086E-2</v>
      </c>
      <c r="J63" s="38"/>
      <c r="K63" s="112">
        <f t="shared" si="3"/>
        <v>5015.8103057848539</v>
      </c>
      <c r="L63" s="112">
        <f t="shared" si="4"/>
        <v>376.18577293386397</v>
      </c>
      <c r="M63" s="133">
        <f t="shared" si="5"/>
        <v>2.3039780078472401E-2</v>
      </c>
      <c r="N63" s="10">
        <f>PARAMETERS!$B$15*D63</f>
        <v>1.4941321548139721</v>
      </c>
      <c r="O63" s="13">
        <f t="shared" si="6"/>
        <v>898.45150373453714</v>
      </c>
      <c r="P63" s="4">
        <f>PARAMETERS!$B$9*O63</f>
        <v>1.9674120519734393</v>
      </c>
      <c r="Q63" s="8">
        <f>MAX(PARAMETERS!$B$6,PARAMETERS!$B$6+PARAMETERS!$B$10*(P63-PARAMETERS!$B$11))</f>
        <v>3.7011180779601589E-2</v>
      </c>
      <c r="R63" s="155">
        <f>PARAMETERS!$B$4/DECARBONISATION!Q63</f>
        <v>2.0264146784891457</v>
      </c>
      <c r="S63" s="47"/>
      <c r="T63" s="1"/>
      <c r="U63" s="1"/>
      <c r="V63" s="5"/>
      <c r="W63" s="1"/>
      <c r="X63" s="1"/>
      <c r="Y63" s="1"/>
      <c r="Z63" s="1"/>
      <c r="AA63" s="1"/>
      <c r="AB63" s="1"/>
    </row>
    <row r="64" spans="1:28" s="2" customFormat="1" ht="20.149999999999999" customHeight="1" x14ac:dyDescent="0.35">
      <c r="A64" s="1">
        <v>2076</v>
      </c>
      <c r="B64" s="39"/>
      <c r="C64" s="13">
        <f t="shared" si="0"/>
        <v>140.49725746547858</v>
      </c>
      <c r="D64" s="13">
        <f>PARAMETERS!$B$4*C64</f>
        <v>10.537294309910893</v>
      </c>
      <c r="E64" s="37">
        <f t="shared" si="1"/>
        <v>-3.7011180779601749E-2</v>
      </c>
      <c r="F64" s="43"/>
      <c r="G64" s="13">
        <f>G63+PARAMETERS!$B$5*L63-Q63*G63</f>
        <v>4990.6206046828738</v>
      </c>
      <c r="H64" s="13">
        <f>PARAMETERS!$B$4*G64</f>
        <v>374.29654535121551</v>
      </c>
      <c r="I64" s="11">
        <f t="shared" si="2"/>
        <v>2.4786351216770482E-2</v>
      </c>
      <c r="J64" s="38"/>
      <c r="K64" s="112">
        <f t="shared" si="3"/>
        <v>5131.1178621483523</v>
      </c>
      <c r="L64" s="112">
        <f t="shared" si="4"/>
        <v>384.83383966112643</v>
      </c>
      <c r="M64" s="133">
        <f t="shared" si="5"/>
        <v>2.2988819220398454E-2</v>
      </c>
      <c r="N64" s="10">
        <f>PARAMETERS!$B$15*D64</f>
        <v>1.4388325595235363</v>
      </c>
      <c r="O64" s="13">
        <f t="shared" si="6"/>
        <v>899.94563588935114</v>
      </c>
      <c r="P64" s="4">
        <f>PARAMETERS!$B$9*O64</f>
        <v>1.9706838742102581</v>
      </c>
      <c r="Q64" s="8">
        <f>MAX(PARAMETERS!$B$6,PARAMETERS!$B$6+PARAMETERS!$B$10*(P64-PARAMETERS!$B$11))</f>
        <v>3.7060258113153874E-2</v>
      </c>
      <c r="R64" s="155">
        <f>PARAMETERS!$B$4/DECARBONISATION!Q64</f>
        <v>2.0237311831721994</v>
      </c>
      <c r="S64" s="47"/>
      <c r="T64" s="1"/>
      <c r="U64" s="1"/>
      <c r="V64" s="5"/>
      <c r="W64" s="1"/>
      <c r="X64" s="1"/>
      <c r="Y64" s="1"/>
      <c r="Z64" s="1"/>
      <c r="AA64" s="1"/>
      <c r="AB64" s="1"/>
    </row>
    <row r="65" spans="1:28" s="2" customFormat="1" ht="20.149999999999999" customHeight="1" x14ac:dyDescent="0.35">
      <c r="A65" s="1">
        <v>2077</v>
      </c>
      <c r="B65" s="39"/>
      <c r="C65" s="13">
        <f t="shared" si="0"/>
        <v>135.29039283961771</v>
      </c>
      <c r="D65" s="13">
        <f>PARAMETERS!$B$4*C65</f>
        <v>10.146779462971327</v>
      </c>
      <c r="E65" s="37">
        <f t="shared" si="1"/>
        <v>-3.706025811315386E-2</v>
      </c>
      <c r="F65" s="43"/>
      <c r="G65" s="13">
        <f>G64+PARAMETERS!$B$5*L64-Q64*G64</f>
        <v>5113.5339886574038</v>
      </c>
      <c r="H65" s="13">
        <f>PARAMETERS!$B$4*G65</f>
        <v>383.5150491493053</v>
      </c>
      <c r="I65" s="11">
        <f t="shared" si="2"/>
        <v>2.4628877590734215E-2</v>
      </c>
      <c r="J65" s="38"/>
      <c r="K65" s="112">
        <f t="shared" si="3"/>
        <v>5248.8243814970219</v>
      </c>
      <c r="L65" s="112">
        <f t="shared" si="4"/>
        <v>393.66182861227662</v>
      </c>
      <c r="M65" s="133">
        <f t="shared" si="5"/>
        <v>2.2939741886846179E-2</v>
      </c>
      <c r="N65" s="10">
        <f>PARAMETERS!$B$15*D65</f>
        <v>1.3855090534859842</v>
      </c>
      <c r="O65" s="13">
        <f t="shared" si="6"/>
        <v>901.38446844887471</v>
      </c>
      <c r="P65" s="4">
        <f>PARAMETERS!$B$9*O65</f>
        <v>1.9738346024427915</v>
      </c>
      <c r="Q65" s="8">
        <f>MAX(PARAMETERS!$B$6,PARAMETERS!$B$6+PARAMETERS!$B$10*(P65-PARAMETERS!$B$11))</f>
        <v>3.7107519036641869E-2</v>
      </c>
      <c r="R65" s="155">
        <f>PARAMETERS!$B$4/DECARBONISATION!Q65</f>
        <v>2.0211537162034774</v>
      </c>
      <c r="S65" s="47"/>
      <c r="T65" s="1"/>
      <c r="U65" s="1"/>
      <c r="V65" s="5"/>
      <c r="W65" s="1"/>
      <c r="X65" s="1"/>
      <c r="Y65" s="1"/>
      <c r="Z65" s="1"/>
      <c r="AA65" s="1"/>
      <c r="AB65" s="1"/>
    </row>
    <row r="66" spans="1:28" ht="20.149999999999999" customHeight="1" x14ac:dyDescent="0.35">
      <c r="A66" s="1">
        <v>2078</v>
      </c>
      <c r="C66" s="13">
        <f t="shared" si="0"/>
        <v>130.27010201184683</v>
      </c>
      <c r="D66" s="13">
        <f>PARAMETERS!$B$4*C66</f>
        <v>9.7702576508885119</v>
      </c>
      <c r="E66" s="37">
        <f t="shared" si="1"/>
        <v>-3.7107519036641896E-2</v>
      </c>
      <c r="G66" s="13">
        <f>G65+PARAMETERS!$B$5*L65-Q65*G65</f>
        <v>5238.7128917186055</v>
      </c>
      <c r="H66" s="13">
        <f>PARAMETERS!$B$4*G66</f>
        <v>392.90346687889541</v>
      </c>
      <c r="I66" s="11">
        <f t="shared" si="2"/>
        <v>2.4479920019866378E-2</v>
      </c>
      <c r="J66" s="38"/>
      <c r="K66" s="112">
        <f t="shared" si="3"/>
        <v>5368.9829937304521</v>
      </c>
      <c r="L66" s="112">
        <f t="shared" si="4"/>
        <v>402.67372452978395</v>
      </c>
      <c r="M66" s="133">
        <f t="shared" si="5"/>
        <v>2.2892480963358226E-2</v>
      </c>
      <c r="N66" s="10">
        <f>PARAMETERS!$B$15*D66</f>
        <v>1.3340962499083133</v>
      </c>
      <c r="O66" s="13">
        <f t="shared" si="6"/>
        <v>902.76997750236069</v>
      </c>
      <c r="P66" s="4">
        <f>PARAMETERS!$B$9*O66</f>
        <v>1.9768685638737826</v>
      </c>
      <c r="Q66" s="8">
        <f>MAX(PARAMETERS!$B$6,PARAMETERS!$B$6+PARAMETERS!$B$10*(P66-PARAMETERS!$B$11))</f>
        <v>3.7153028458106738E-2</v>
      </c>
      <c r="R66" s="155">
        <f>PARAMETERS!$B$4/DECARBONISATION!Q66</f>
        <v>2.0186779681922564</v>
      </c>
    </row>
    <row r="67" spans="1:28" ht="20.149999999999999" customHeight="1" x14ac:dyDescent="0.35">
      <c r="A67" s="1">
        <v>2079</v>
      </c>
      <c r="C67" s="13">
        <f t="shared" si="0"/>
        <v>125.43017320456022</v>
      </c>
      <c r="D67" s="13">
        <f>PARAMETERS!$B$4*C67</f>
        <v>9.4072629903420157</v>
      </c>
      <c r="E67" s="37">
        <f t="shared" si="1"/>
        <v>-3.7153028458106765E-2</v>
      </c>
      <c r="G67" s="13">
        <f>G66+PARAMETERS!$B$5*L66-Q66*G66</f>
        <v>5366.2178221925606</v>
      </c>
      <c r="H67" s="13">
        <f>PARAMETERS!$B$4*G67</f>
        <v>402.46633666444205</v>
      </c>
      <c r="I67" s="11">
        <f t="shared" si="2"/>
        <v>2.4338980415497837E-2</v>
      </c>
      <c r="J67" s="38"/>
      <c r="K67" s="112">
        <f t="shared" si="3"/>
        <v>5491.6479953971211</v>
      </c>
      <c r="L67" s="112">
        <f t="shared" si="4"/>
        <v>411.87359965478407</v>
      </c>
      <c r="M67" s="133">
        <f t="shared" si="5"/>
        <v>2.2846971541893208E-2</v>
      </c>
      <c r="N67" s="10">
        <f>PARAMETERS!$B$15*D67</f>
        <v>1.2845305339696163</v>
      </c>
      <c r="O67" s="13">
        <f t="shared" si="6"/>
        <v>904.10407375226896</v>
      </c>
      <c r="P67" s="4">
        <f>PARAMETERS!$B$9*O67</f>
        <v>1.9797899425232168</v>
      </c>
      <c r="Q67" s="8">
        <f>MAX(PARAMETERS!$B$6,PARAMETERS!$B$6+PARAMETERS!$B$10*(P67-PARAMETERS!$B$11))</f>
        <v>3.7196849137848251E-2</v>
      </c>
      <c r="R67" s="155">
        <f>PARAMETERS!$B$4/DECARBONISATION!Q67</f>
        <v>2.0162998140529753</v>
      </c>
    </row>
    <row r="68" spans="1:28" ht="20.149999999999999" customHeight="1" x14ac:dyDescent="0.35">
      <c r="A68" s="1">
        <v>2080</v>
      </c>
      <c r="C68" s="13">
        <f t="shared" si="0"/>
        <v>120.76456597453601</v>
      </c>
      <c r="D68" s="13">
        <f>PARAMETERS!$B$4*C68</f>
        <v>9.0573424480901998</v>
      </c>
      <c r="E68" s="37">
        <f t="shared" si="1"/>
        <v>-3.7196849137848327E-2</v>
      </c>
      <c r="G68" s="13">
        <f>G67+PARAMETERS!$B$5*L67-Q67*G67</f>
        <v>5496.1103071434591</v>
      </c>
      <c r="H68" s="13">
        <f>PARAMETERS!$B$4*G68</f>
        <v>412.20827303575942</v>
      </c>
      <c r="I68" s="11">
        <f t="shared" si="2"/>
        <v>2.4205593074085457E-2</v>
      </c>
      <c r="J68" s="38"/>
      <c r="K68" s="112">
        <f t="shared" si="3"/>
        <v>5616.8748731179949</v>
      </c>
      <c r="L68" s="112">
        <f t="shared" si="4"/>
        <v>421.26561548384961</v>
      </c>
      <c r="M68" s="133">
        <f t="shared" si="5"/>
        <v>2.2803150862151771E-2</v>
      </c>
      <c r="N68" s="10">
        <f>PARAMETERS!$B$15*D68</f>
        <v>1.2367500454845886</v>
      </c>
      <c r="O68" s="13">
        <f t="shared" si="6"/>
        <v>905.38860428623855</v>
      </c>
      <c r="P68" s="4">
        <f>PARAMETERS!$B$9*O68</f>
        <v>1.9826027831085518</v>
      </c>
      <c r="Q68" s="8">
        <f>MAX(PARAMETERS!$B$6,PARAMETERS!$B$6+PARAMETERS!$B$10*(P68-PARAMETERS!$B$11))</f>
        <v>3.7239041746628274E-2</v>
      </c>
      <c r="R68" s="155">
        <f>PARAMETERS!$B$4/DECARBONISATION!Q68</f>
        <v>2.014015304429543</v>
      </c>
    </row>
    <row r="69" spans="1:28" ht="20.149999999999999" customHeight="1" x14ac:dyDescent="0.35">
      <c r="A69" s="1">
        <v>2081</v>
      </c>
      <c r="C69" s="13">
        <f t="shared" si="0"/>
        <v>116.26740926069682</v>
      </c>
      <c r="D69" s="13">
        <f>PARAMETERS!$B$4*C69</f>
        <v>8.7200556945522614</v>
      </c>
      <c r="E69" s="37">
        <f t="shared" si="1"/>
        <v>-3.7239041746628183E-2</v>
      </c>
      <c r="G69" s="13">
        <f>G68+PARAMETERS!$B$5*L68-Q68*G68</f>
        <v>5628.4529183587501</v>
      </c>
      <c r="H69" s="13">
        <f>PARAMETERS!$B$4*G69</f>
        <v>422.13396887690624</v>
      </c>
      <c r="I69" s="11">
        <f t="shared" si="2"/>
        <v>2.4079322251462323E-2</v>
      </c>
      <c r="J69" s="38"/>
      <c r="K69" s="112">
        <f t="shared" si="3"/>
        <v>5744.7203276194468</v>
      </c>
      <c r="L69" s="112">
        <f t="shared" si="4"/>
        <v>430.85402457145852</v>
      </c>
      <c r="M69" s="133">
        <f t="shared" si="5"/>
        <v>2.2760958253371873E-2</v>
      </c>
      <c r="N69" s="10">
        <f>PARAMETERS!$B$15*D69</f>
        <v>1.1906946589106437</v>
      </c>
      <c r="O69" s="13">
        <f t="shared" si="6"/>
        <v>906.62535433172309</v>
      </c>
      <c r="P69" s="4">
        <f>PARAMETERS!$B$9*O69</f>
        <v>1.9853109948869849</v>
      </c>
      <c r="Q69" s="8">
        <f>MAX(PARAMETERS!$B$6,PARAMETERS!$B$6+PARAMETERS!$B$10*(P69-PARAMETERS!$B$11))</f>
        <v>3.727966492330477E-2</v>
      </c>
      <c r="R69" s="155">
        <f>PARAMETERS!$B$4/DECARBONISATION!Q69</f>
        <v>2.0118206575702073</v>
      </c>
    </row>
    <row r="70" spans="1:28" ht="20.149999999999999" customHeight="1" x14ac:dyDescent="0.35">
      <c r="A70" s="1">
        <v>2082</v>
      </c>
      <c r="C70" s="13">
        <f t="shared" si="0"/>
        <v>111.9329992019573</v>
      </c>
      <c r="D70" s="13">
        <f>PARAMETERS!$B$4*C70</f>
        <v>8.3949749401467972</v>
      </c>
      <c r="E70" s="37">
        <f t="shared" si="1"/>
        <v>-3.7279664923304791E-2</v>
      </c>
      <c r="G70" s="13">
        <f>G69+PARAMETERS!$B$5*L69-Q69*G69</f>
        <v>5763.3092991829062</v>
      </c>
      <c r="H70" s="13">
        <f>PARAMETERS!$B$4*G70</f>
        <v>432.24819743871797</v>
      </c>
      <c r="I70" s="11">
        <f t="shared" si="2"/>
        <v>2.3959759951848427E-2</v>
      </c>
      <c r="J70" s="38"/>
      <c r="K70" s="112">
        <f t="shared" si="3"/>
        <v>5875.2422983848637</v>
      </c>
      <c r="L70" s="112">
        <f t="shared" si="4"/>
        <v>440.64317237886479</v>
      </c>
      <c r="M70" s="133">
        <f t="shared" si="5"/>
        <v>2.2720335076695342E-2</v>
      </c>
      <c r="N70" s="10">
        <f>PARAMETERS!$B$15*D70</f>
        <v>1.1463059610004862</v>
      </c>
      <c r="O70" s="13">
        <f t="shared" si="6"/>
        <v>907.8160489906337</v>
      </c>
      <c r="P70" s="4">
        <f>PARAMETERS!$B$9*O70</f>
        <v>1.9879183554539426</v>
      </c>
      <c r="Q70" s="8">
        <f>MAX(PARAMETERS!$B$6,PARAMETERS!$B$6+PARAMETERS!$B$10*(P70-PARAMETERS!$B$11))</f>
        <v>3.7318775331809134E-2</v>
      </c>
      <c r="R70" s="155">
        <f>PARAMETERS!$B$4/DECARBONISATION!Q70</f>
        <v>2.009712251625599</v>
      </c>
      <c r="Z70" s="6"/>
    </row>
    <row r="71" spans="1:28" ht="20.149999999999999" customHeight="1" x14ac:dyDescent="0.35">
      <c r="A71" s="1">
        <v>2083</v>
      </c>
      <c r="C71" s="13">
        <f t="shared" si="0"/>
        <v>107.75579675252389</v>
      </c>
      <c r="D71" s="13">
        <f>PARAMETERS!$B$4*C71</f>
        <v>8.0816847564392909</v>
      </c>
      <c r="E71" s="37">
        <f t="shared" si="1"/>
        <v>-3.7318775331809162E-2</v>
      </c>
      <c r="G71" s="13">
        <f>G70+PARAMETERS!$B$5*L70-Q70*G70</f>
        <v>5900.7441921820646</v>
      </c>
      <c r="H71" s="13">
        <f>PARAMETERS!$B$4*G71</f>
        <v>442.55581441365484</v>
      </c>
      <c r="I71" s="11">
        <f t="shared" si="2"/>
        <v>2.3846523909213619E-2</v>
      </c>
      <c r="J71" s="38"/>
      <c r="K71" s="112">
        <f t="shared" si="3"/>
        <v>6008.4999889345881</v>
      </c>
      <c r="L71" s="112">
        <f t="shared" si="4"/>
        <v>450.63749917009415</v>
      </c>
      <c r="M71" s="133">
        <f t="shared" si="5"/>
        <v>2.2681224668190791E-2</v>
      </c>
      <c r="N71" s="10">
        <f>PARAMETERS!$B$15*D71</f>
        <v>1.1035272263803955</v>
      </c>
      <c r="O71" s="13">
        <f t="shared" si="6"/>
        <v>908.96235495163421</v>
      </c>
      <c r="P71" s="4">
        <f>PARAMETERS!$B$9*O71</f>
        <v>1.9904285144926299</v>
      </c>
      <c r="Q71" s="8">
        <f>MAX(PARAMETERS!$B$6,PARAMETERS!$B$6+PARAMETERS!$B$10*(P71-PARAMETERS!$B$11))</f>
        <v>3.7356427717389451E-2</v>
      </c>
      <c r="R71" s="155">
        <f>PARAMETERS!$B$4/DECARBONISATION!Q71</f>
        <v>2.0076866173445014</v>
      </c>
      <c r="Z71" s="6"/>
    </row>
    <row r="72" spans="1:28" ht="20.149999999999999" customHeight="1" x14ac:dyDescent="0.35">
      <c r="A72" s="1">
        <v>2084</v>
      </c>
      <c r="C72" s="13">
        <f t="shared" si="0"/>
        <v>103.73042512000852</v>
      </c>
      <c r="D72" s="13">
        <f>PARAMETERS!$B$4*C72</f>
        <v>7.7797818840006387</v>
      </c>
      <c r="E72" s="37">
        <f t="shared" si="1"/>
        <v>-3.7356427717389395E-2</v>
      </c>
      <c r="G72" s="13">
        <f>G71+PARAMETERS!$B$5*L71-Q71*G71</f>
        <v>6040.8234676240854</v>
      </c>
      <c r="H72" s="13">
        <f>PARAMETERS!$B$4*G72</f>
        <v>453.06176007180642</v>
      </c>
      <c r="I72" s="11">
        <f t="shared" si="2"/>
        <v>2.3739255741269543E-2</v>
      </c>
      <c r="J72" s="38"/>
      <c r="K72" s="112">
        <f t="shared" si="3"/>
        <v>6144.5538927440939</v>
      </c>
      <c r="L72" s="112">
        <f t="shared" si="4"/>
        <v>460.84154195580703</v>
      </c>
      <c r="M72" s="133">
        <f t="shared" si="5"/>
        <v>2.2643572282610568E-2</v>
      </c>
      <c r="N72" s="10">
        <f>PARAMETERS!$B$15*D72</f>
        <v>1.062303391313945</v>
      </c>
      <c r="O72" s="13">
        <f t="shared" si="6"/>
        <v>910.06588217801459</v>
      </c>
      <c r="P72" s="4">
        <f>PARAMETERS!$B$9*O72</f>
        <v>1.992844997470105</v>
      </c>
      <c r="Q72" s="8">
        <f>MAX(PARAMETERS!$B$6,PARAMETERS!$B$6+PARAMETERS!$B$10*(P72-PARAMETERS!$B$11))</f>
        <v>3.7392674962051571E-2</v>
      </c>
      <c r="R72" s="155">
        <f>PARAMETERS!$B$4/DECARBONISATION!Q72</f>
        <v>2.0057404311436584</v>
      </c>
      <c r="Z72" s="6"/>
    </row>
    <row r="73" spans="1:28" ht="20.149999999999999" customHeight="1" x14ac:dyDescent="0.35">
      <c r="A73" s="1">
        <v>2085</v>
      </c>
      <c r="C73" s="13">
        <f t="shared" si="0"/>
        <v>99.851667049820605</v>
      </c>
      <c r="D73" s="13">
        <f>PARAMETERS!$B$4*C73</f>
        <v>7.4888750287365449</v>
      </c>
      <c r="E73" s="37">
        <f t="shared" si="1"/>
        <v>-3.7392674962051675E-2</v>
      </c>
      <c r="G73" s="13">
        <f>G72+PARAMETERS!$B$5*L72-Q72*G72</f>
        <v>6183.6141527607306</v>
      </c>
      <c r="H73" s="13">
        <f>PARAMETERS!$B$4*G73</f>
        <v>463.77106145705477</v>
      </c>
      <c r="I73" s="11">
        <f t="shared" si="2"/>
        <v>2.3637619258687865E-2</v>
      </c>
      <c r="J73" s="38"/>
      <c r="K73" s="112">
        <f t="shared" si="3"/>
        <v>6283.4658198105508</v>
      </c>
      <c r="L73" s="112">
        <f t="shared" si="4"/>
        <v>471.25993648579134</v>
      </c>
      <c r="M73" s="133">
        <f t="shared" si="5"/>
        <v>2.2607325037948503E-2</v>
      </c>
      <c r="N73" s="10">
        <f>PARAMETERS!$B$15*D73</f>
        <v>1.0225810258914576</v>
      </c>
      <c r="O73" s="13">
        <f t="shared" si="6"/>
        <v>911.12818556932848</v>
      </c>
      <c r="P73" s="4">
        <f>PARAMETERS!$B$9*O73</f>
        <v>1.995171209275902</v>
      </c>
      <c r="Q73" s="8">
        <f>MAX(PARAMETERS!$B$6,PARAMETERS!$B$6+PARAMETERS!$B$10*(P73-PARAMETERS!$B$11))</f>
        <v>3.7427568139138528E-2</v>
      </c>
      <c r="R73" s="155">
        <f>PARAMETERS!$B$4/DECARBONISATION!Q73</f>
        <v>2.0038705085295523</v>
      </c>
      <c r="Z73" s="6"/>
    </row>
    <row r="74" spans="1:28" ht="20.149999999999999" customHeight="1" x14ac:dyDescent="0.35">
      <c r="A74" s="1">
        <v>2086</v>
      </c>
      <c r="C74" s="13">
        <f t="shared" ref="C74:C88" si="7">C73-Q73*C73</f>
        <v>96.114461977506878</v>
      </c>
      <c r="D74" s="13">
        <f>PARAMETERS!$B$4*C74</f>
        <v>7.2085846483130158</v>
      </c>
      <c r="E74" s="37">
        <f t="shared" ref="E74:E88" si="8">(D74-D73)/D73</f>
        <v>-3.7427568139138397E-2</v>
      </c>
      <c r="G74" s="13">
        <f>G73+PARAMETERS!$B$5*L73-Q73*G73</f>
        <v>6329.1844619007707</v>
      </c>
      <c r="H74" s="13">
        <f>PARAMETERS!$B$4*G74</f>
        <v>474.68883464255777</v>
      </c>
      <c r="I74" s="11">
        <f t="shared" ref="I74:I88" si="9">(H74-H73)/H73</f>
        <v>2.3541298914171213E-2</v>
      </c>
      <c r="J74" s="38"/>
      <c r="K74" s="112">
        <f t="shared" ref="K74:K88" si="10">C74+G74</f>
        <v>6425.2989238782775</v>
      </c>
      <c r="L74" s="112">
        <f t="shared" ref="L74:L88" si="11">D74+H74</f>
        <v>481.8974192908708</v>
      </c>
      <c r="M74" s="133">
        <f t="shared" ref="M74:M88" si="12">(L74-L73)/L73</f>
        <v>2.2572431860861532E-2</v>
      </c>
      <c r="N74" s="10">
        <f>PARAMETERS!$B$15*D74</f>
        <v>0.98430830486711496</v>
      </c>
      <c r="O74" s="13">
        <f t="shared" ref="O74:O88" si="13">N73+O73</f>
        <v>912.15076659521992</v>
      </c>
      <c r="P74" s="4">
        <f>PARAMETERS!$B$9*O74</f>
        <v>1.9974104377997519</v>
      </c>
      <c r="Q74" s="8">
        <f>MAX(PARAMETERS!$B$6,PARAMETERS!$B$6+PARAMETERS!$B$10*(P74-PARAMETERS!$B$11))</f>
        <v>3.7461156566996279E-2</v>
      </c>
      <c r="R74" s="155">
        <f>PARAMETERS!$B$4/DECARBONISATION!Q74</f>
        <v>2.0020737978516094</v>
      </c>
      <c r="Z74" s="6"/>
    </row>
    <row r="75" spans="1:28" ht="20.149999999999999" customHeight="1" x14ac:dyDescent="0.35">
      <c r="A75" s="1">
        <v>2087</v>
      </c>
      <c r="C75" s="13">
        <f t="shared" si="7"/>
        <v>92.513903069014887</v>
      </c>
      <c r="D75" s="13">
        <f>PARAMETERS!$B$4*C75</f>
        <v>6.938542730176116</v>
      </c>
      <c r="E75" s="37">
        <f t="shared" si="8"/>
        <v>-3.7461156566996293E-2</v>
      </c>
      <c r="G75" s="13">
        <f>G74+PARAMETERS!$B$5*L74-Q74*G74</f>
        <v>6477.603827264802</v>
      </c>
      <c r="H75" s="13">
        <f>PARAMETERS!$B$4*G75</f>
        <v>485.82028704486015</v>
      </c>
      <c r="I75" s="11">
        <f t="shared" si="9"/>
        <v>2.3449998377746563E-2</v>
      </c>
      <c r="J75" s="38"/>
      <c r="K75" s="112">
        <f t="shared" si="10"/>
        <v>6570.1177303338172</v>
      </c>
      <c r="L75" s="112">
        <f t="shared" si="11"/>
        <v>492.75882977503625</v>
      </c>
      <c r="M75" s="133">
        <f t="shared" si="12"/>
        <v>2.2538843433003643E-2</v>
      </c>
      <c r="N75" s="10">
        <f>PARAMETERS!$B$15*D75</f>
        <v>0.94743497734829318</v>
      </c>
      <c r="O75" s="13">
        <f t="shared" si="13"/>
        <v>913.13507490008703</v>
      </c>
      <c r="P75" s="4">
        <f>PARAMETERS!$B$9*O75</f>
        <v>1.9995658574454462</v>
      </c>
      <c r="Q75" s="8">
        <f>MAX(PARAMETERS!$B$6,PARAMETERS!$B$6+PARAMETERS!$B$10*(P75-PARAMETERS!$B$11))</f>
        <v>3.749348786168169E-2</v>
      </c>
      <c r="R75" s="155">
        <f>PARAMETERS!$B$4/DECARBONISATION!Q75</f>
        <v>2.0003473743676414</v>
      </c>
    </row>
    <row r="76" spans="1:28" ht="20.149999999999999" customHeight="1" x14ac:dyDescent="0.35">
      <c r="A76" s="1">
        <v>2088</v>
      </c>
      <c r="C76" s="13">
        <f t="shared" si="7"/>
        <v>89.045234167259977</v>
      </c>
      <c r="D76" s="13">
        <f>PARAMETERS!$B$4*C76</f>
        <v>6.6783925625444978</v>
      </c>
      <c r="E76" s="37">
        <f t="shared" si="8"/>
        <v>-3.7493487861681732E-2</v>
      </c>
      <c r="G76" s="13">
        <f>G75+PARAMETERS!$B$5*L75-Q75*G75</f>
        <v>6628.9429306144957</v>
      </c>
      <c r="H76" s="13">
        <f>PARAMETERS!$B$4*G76</f>
        <v>497.17071979608716</v>
      </c>
      <c r="I76" s="11">
        <f t="shared" si="9"/>
        <v>2.3363439226198712E-2</v>
      </c>
      <c r="J76" s="38"/>
      <c r="K76" s="112">
        <f t="shared" si="10"/>
        <v>6717.9881647817556</v>
      </c>
      <c r="L76" s="112">
        <f t="shared" si="11"/>
        <v>503.84911235863166</v>
      </c>
      <c r="M76" s="133">
        <f t="shared" si="12"/>
        <v>2.2506512138318373E-2</v>
      </c>
      <c r="N76" s="10">
        <f>PARAMETERS!$B$15*D76</f>
        <v>0.91191233552535234</v>
      </c>
      <c r="O76" s="13">
        <f t="shared" si="13"/>
        <v>914.08250987743531</v>
      </c>
      <c r="P76" s="4">
        <f>PARAMETERS!$B$9*O76</f>
        <v>2.0016405325783255</v>
      </c>
      <c r="Q76" s="8">
        <f>MAX(PARAMETERS!$B$6,PARAMETERS!$B$6+PARAMETERS!$B$10*(P76-PARAMETERS!$B$11))</f>
        <v>3.752460798867488E-2</v>
      </c>
      <c r="R76" s="155">
        <f>PARAMETERS!$B$4/DECARBONISATION!Q76</f>
        <v>1.9986884346036442</v>
      </c>
      <c r="AA76" s="6"/>
    </row>
    <row r="77" spans="1:28" s="6" customFormat="1" ht="20.149999999999999" customHeight="1" x14ac:dyDescent="0.35">
      <c r="A77" s="1">
        <v>2089</v>
      </c>
      <c r="B77" s="39"/>
      <c r="C77" s="13">
        <f t="shared" si="7"/>
        <v>85.703846661873783</v>
      </c>
      <c r="D77" s="13">
        <f>PARAMETERS!$B$4*C77</f>
        <v>6.4277884996405339</v>
      </c>
      <c r="E77" s="37">
        <f t="shared" si="8"/>
        <v>-3.7524607988674838E-2</v>
      </c>
      <c r="F77" s="43"/>
      <c r="G77" s="13">
        <f>G76+PARAMETERS!$B$5*L76-Q76*G76</f>
        <v>6783.2737356507951</v>
      </c>
      <c r="H77" s="13">
        <f>PARAMETERS!$B$4*G77</f>
        <v>508.74553017380958</v>
      </c>
      <c r="I77" s="11">
        <f t="shared" si="9"/>
        <v>2.3281359735886693E-2</v>
      </c>
      <c r="J77" s="38"/>
      <c r="K77" s="112">
        <f t="shared" si="10"/>
        <v>6868.9775823126693</v>
      </c>
      <c r="L77" s="112">
        <f t="shared" si="11"/>
        <v>515.17331867345013</v>
      </c>
      <c r="M77" s="133">
        <f t="shared" si="12"/>
        <v>2.247539201132517E-2</v>
      </c>
      <c r="N77" s="10">
        <f>PARAMETERS!$B$15*D77</f>
        <v>0.87769318261472651</v>
      </c>
      <c r="O77" s="13">
        <f t="shared" si="13"/>
        <v>914.99442221296067</v>
      </c>
      <c r="P77" s="4">
        <f>PARAMETERS!$B$9*O77</f>
        <v>2.0036374209042935</v>
      </c>
      <c r="Q77" s="8">
        <f>MAX(PARAMETERS!$B$6,PARAMETERS!$B$6+PARAMETERS!$B$10*(P77-PARAMETERS!$B$11))</f>
        <v>3.7554561313564404E-2</v>
      </c>
      <c r="R77" s="155">
        <f>PARAMETERS!$B$4/DECARBONISATION!Q77</f>
        <v>1.9970942909912412</v>
      </c>
      <c r="S77" s="47"/>
      <c r="T77" s="1"/>
      <c r="U77" s="1"/>
      <c r="V77" s="5"/>
      <c r="W77" s="1"/>
      <c r="X77" s="1"/>
      <c r="Y77" s="1"/>
      <c r="AB77" s="1"/>
    </row>
    <row r="78" spans="1:28" s="6" customFormat="1" ht="20.149999999999999" customHeight="1" x14ac:dyDescent="0.35">
      <c r="A78" s="1">
        <v>2090</v>
      </c>
      <c r="B78" s="39"/>
      <c r="C78" s="13">
        <f t="shared" si="7"/>
        <v>82.485276297602127</v>
      </c>
      <c r="D78" s="13">
        <f>PARAMETERS!$B$4*C78</f>
        <v>6.1863957223201593</v>
      </c>
      <c r="E78" s="37">
        <f t="shared" si="8"/>
        <v>-3.7554561313564404E-2</v>
      </c>
      <c r="F78" s="43"/>
      <c r="G78" s="13">
        <f>G77+PARAMETERS!$B$5*L77-Q77*G77</f>
        <v>6940.6695211773658</v>
      </c>
      <c r="H78" s="13">
        <f>PARAMETERS!$B$4*G78</f>
        <v>520.55021408830237</v>
      </c>
      <c r="I78" s="11">
        <f t="shared" si="9"/>
        <v>2.3203513769368727E-2</v>
      </c>
      <c r="J78" s="38"/>
      <c r="K78" s="112">
        <f t="shared" si="10"/>
        <v>7023.1547974749683</v>
      </c>
      <c r="L78" s="112">
        <f t="shared" si="11"/>
        <v>526.73660981062255</v>
      </c>
      <c r="M78" s="133">
        <f t="shared" si="12"/>
        <v>2.2445438686435511E-2</v>
      </c>
      <c r="N78" s="10">
        <f>PARAMETERS!$B$15*D78</f>
        <v>0.84473180017372429</v>
      </c>
      <c r="O78" s="13">
        <f t="shared" si="13"/>
        <v>915.87211539557541</v>
      </c>
      <c r="P78" s="4">
        <f>PARAMETERS!$B$9*O78</f>
        <v>2.0055593767786326</v>
      </c>
      <c r="Q78" s="8">
        <f>MAX(PARAMETERS!$B$6,PARAMETERS!$B$6+PARAMETERS!$B$10*(P78-PARAMETERS!$B$11))</f>
        <v>3.7583390651679489E-2</v>
      </c>
      <c r="R78" s="155">
        <f>PARAMETERS!$B$4/DECARBONISATION!Q78</f>
        <v>1.9955623667671525</v>
      </c>
      <c r="S78" s="47"/>
      <c r="T78" s="1"/>
      <c r="U78" s="1"/>
      <c r="V78" s="5"/>
      <c r="W78" s="1"/>
      <c r="X78" s="1"/>
      <c r="Y78" s="1"/>
      <c r="Z78" s="1"/>
      <c r="AB78" s="1"/>
    </row>
    <row r="79" spans="1:28" s="6" customFormat="1" ht="20.149999999999999" customHeight="1" x14ac:dyDescent="0.35">
      <c r="A79" s="1">
        <v>2091</v>
      </c>
      <c r="B79" s="39"/>
      <c r="C79" s="13">
        <f t="shared" si="7"/>
        <v>79.385199935497624</v>
      </c>
      <c r="D79" s="13">
        <f>PARAMETERS!$B$4*C79</f>
        <v>5.9538899951623216</v>
      </c>
      <c r="E79" s="37">
        <f t="shared" si="8"/>
        <v>-3.7583390651679524E-2</v>
      </c>
      <c r="F79" s="43"/>
      <c r="G79" s="13">
        <f>G78+PARAMETERS!$B$5*L78-Q78*G78</f>
        <v>7101.2049150272505</v>
      </c>
      <c r="H79" s="13">
        <f>PARAMETERS!$B$4*G79</f>
        <v>532.59036862704374</v>
      </c>
      <c r="I79" s="11">
        <f t="shared" si="9"/>
        <v>2.3129669747285843E-2</v>
      </c>
      <c r="J79" s="38"/>
      <c r="K79" s="112">
        <f t="shared" si="10"/>
        <v>7180.590114962748</v>
      </c>
      <c r="L79" s="112">
        <f t="shared" si="11"/>
        <v>538.54425862220603</v>
      </c>
      <c r="M79" s="133">
        <f t="shared" si="12"/>
        <v>2.241660934832055E-2</v>
      </c>
      <c r="N79" s="10">
        <f>PARAMETERS!$B$15*D79</f>
        <v>0.8129839149318987</v>
      </c>
      <c r="O79" s="13">
        <f t="shared" si="13"/>
        <v>916.7168471957491</v>
      </c>
      <c r="P79" s="4">
        <f>PARAMETERS!$B$9*O79</f>
        <v>2.0074091544432462</v>
      </c>
      <c r="Q79" s="8">
        <f>MAX(PARAMETERS!$B$6,PARAMETERS!$B$6+PARAMETERS!$B$10*(P79-PARAMETERS!$B$11))</f>
        <v>3.7611137316648689E-2</v>
      </c>
      <c r="R79" s="155">
        <f>PARAMETERS!$B$4/DECARBONISATION!Q79</f>
        <v>1.9940901911200917</v>
      </c>
      <c r="S79" s="47"/>
      <c r="T79" s="1"/>
      <c r="U79" s="1"/>
      <c r="V79" s="5"/>
      <c r="W79" s="1"/>
      <c r="X79" s="1"/>
      <c r="Y79" s="1"/>
      <c r="Z79" s="1"/>
      <c r="AA79" s="1"/>
      <c r="AB79" s="1"/>
    </row>
    <row r="80" spans="1:28" ht="20.149999999999999" customHeight="1" x14ac:dyDescent="0.35">
      <c r="A80" s="1">
        <v>2092</v>
      </c>
      <c r="C80" s="13">
        <f t="shared" si="7"/>
        <v>76.399432279814008</v>
      </c>
      <c r="D80" s="13">
        <f>PARAMETERS!$B$4*C80</f>
        <v>5.7299574209860502</v>
      </c>
      <c r="E80" s="37">
        <f t="shared" si="8"/>
        <v>-3.7611137316648779E-2</v>
      </c>
      <c r="G80" s="13">
        <f>G79+PARAMETERS!$B$5*L79-Q79*G79</f>
        <v>7264.9559287522652</v>
      </c>
      <c r="H80" s="13">
        <f>PARAMETERS!$B$4*G80</f>
        <v>544.87169465641989</v>
      </c>
      <c r="I80" s="11">
        <f t="shared" si="9"/>
        <v>2.3059609697854623E-2</v>
      </c>
      <c r="J80" s="38"/>
      <c r="K80" s="112">
        <f t="shared" si="10"/>
        <v>7341.3553610320796</v>
      </c>
      <c r="L80" s="112">
        <f t="shared" si="11"/>
        <v>550.6016520774059</v>
      </c>
      <c r="M80" s="133">
        <f t="shared" si="12"/>
        <v>2.2388862683351433E-2</v>
      </c>
      <c r="N80" s="10">
        <f>PARAMETERS!$B$15*D80</f>
        <v>0.78240666527116842</v>
      </c>
      <c r="O80" s="13">
        <f t="shared" si="13"/>
        <v>917.52983111068102</v>
      </c>
      <c r="P80" s="4">
        <f>PARAMETERS!$B$9*O80</f>
        <v>2.0091894111912723</v>
      </c>
      <c r="Q80" s="8">
        <f>MAX(PARAMETERS!$B$6,PARAMETERS!$B$6+PARAMETERS!$B$10*(P80-PARAMETERS!$B$11))</f>
        <v>3.7637841167869085E-2</v>
      </c>
      <c r="R80" s="155">
        <f>PARAMETERS!$B$4/DECARBONISATION!Q80</f>
        <v>1.9926753945714208</v>
      </c>
    </row>
    <row r="81" spans="1:28" ht="20.149999999999999" customHeight="1" x14ac:dyDescent="0.35">
      <c r="A81" s="1">
        <v>2093</v>
      </c>
      <c r="C81" s="13">
        <f t="shared" si="7"/>
        <v>73.523922582350991</v>
      </c>
      <c r="D81" s="13">
        <f>PARAMETERS!$B$4*C81</f>
        <v>5.5142941936763243</v>
      </c>
      <c r="E81" s="37">
        <f t="shared" si="8"/>
        <v>-3.7637841167869106E-2</v>
      </c>
      <c r="G81" s="13">
        <f>G80+PARAMETERS!$B$5*L80-Q80*G80</f>
        <v>7431.9999930762433</v>
      </c>
      <c r="H81" s="13">
        <f>PARAMETERS!$B$4*G81</f>
        <v>557.39999948071818</v>
      </c>
      <c r="I81" s="11">
        <f t="shared" si="9"/>
        <v>2.2993128377127886E-2</v>
      </c>
      <c r="J81" s="38"/>
      <c r="K81" s="112">
        <f t="shared" si="10"/>
        <v>7505.523915658594</v>
      </c>
      <c r="L81" s="112">
        <f t="shared" si="11"/>
        <v>562.91429367439446</v>
      </c>
      <c r="M81" s="133">
        <f t="shared" si="12"/>
        <v>2.2362158832130771E-2</v>
      </c>
      <c r="N81" s="10">
        <f>PARAMETERS!$B$15*D81</f>
        <v>0.75295856747501</v>
      </c>
      <c r="O81" s="13">
        <f t="shared" si="13"/>
        <v>918.31223777595221</v>
      </c>
      <c r="P81" s="4">
        <f>PARAMETERS!$B$9*O81</f>
        <v>2.0109027104582897</v>
      </c>
      <c r="Q81" s="8">
        <f>MAX(PARAMETERS!$B$6,PARAMETERS!$B$6+PARAMETERS!$B$10*(P81-PARAMETERS!$B$11))</f>
        <v>3.7663540656874342E-2</v>
      </c>
      <c r="R81" s="155">
        <f>PARAMETERS!$B$4/DECARBONISATION!Q81</f>
        <v>1.9913157045767818</v>
      </c>
    </row>
    <row r="82" spans="1:28" s="2" customFormat="1" ht="20.149999999999999" customHeight="1" x14ac:dyDescent="0.35">
      <c r="A82" s="1">
        <v>2094</v>
      </c>
      <c r="B82" s="39"/>
      <c r="C82" s="13">
        <f t="shared" si="7"/>
        <v>70.754751334917728</v>
      </c>
      <c r="D82" s="13">
        <f>PARAMETERS!$B$4*C82</f>
        <v>5.3066063501188294</v>
      </c>
      <c r="E82" s="37">
        <f t="shared" si="8"/>
        <v>-3.7663540656874446E-2</v>
      </c>
      <c r="F82" s="43"/>
      <c r="G82" s="13">
        <f>G81+PARAMETERS!$B$5*L81-Q81*G81</f>
        <v>7602.4159941146427</v>
      </c>
      <c r="H82" s="13">
        <f>PARAMETERS!$B$4*G82</f>
        <v>570.18119955859822</v>
      </c>
      <c r="I82" s="11">
        <f t="shared" si="9"/>
        <v>2.2930032453870097E-2</v>
      </c>
      <c r="J82" s="38"/>
      <c r="K82" s="112">
        <f t="shared" si="10"/>
        <v>7673.1707454495609</v>
      </c>
      <c r="L82" s="112">
        <f t="shared" si="11"/>
        <v>575.48780590871706</v>
      </c>
      <c r="M82" s="133">
        <f t="shared" si="12"/>
        <v>2.233645934312601E-2</v>
      </c>
      <c r="N82" s="10">
        <f>PARAMETERS!$B$15*D82</f>
        <v>0.724599481855973</v>
      </c>
      <c r="O82" s="13">
        <f t="shared" si="13"/>
        <v>919.06519634342726</v>
      </c>
      <c r="P82" s="4">
        <f>PARAMETERS!$B$9*O82</f>
        <v>2.0125515248396217</v>
      </c>
      <c r="Q82" s="8">
        <f>MAX(PARAMETERS!$B$6,PARAMETERS!$B$6+PARAMETERS!$B$10*(P82-PARAMETERS!$B$11))</f>
        <v>3.7688272872594325E-2</v>
      </c>
      <c r="R82" s="155">
        <f>PARAMETERS!$B$4/DECARBONISATION!Q82</f>
        <v>1.9900089413366973</v>
      </c>
      <c r="S82" s="47"/>
      <c r="T82" s="1"/>
      <c r="U82" s="1"/>
      <c r="V82" s="5"/>
      <c r="W82" s="1"/>
      <c r="X82" s="1"/>
      <c r="Y82" s="1"/>
      <c r="Z82" s="1"/>
      <c r="AA82" s="1"/>
      <c r="AB82" s="1"/>
    </row>
    <row r="83" spans="1:28" s="2" customFormat="1" ht="20.149999999999999" customHeight="1" x14ac:dyDescent="0.35">
      <c r="A83" s="1">
        <v>2095</v>
      </c>
      <c r="B83" s="39"/>
      <c r="C83" s="13">
        <f t="shared" si="7"/>
        <v>68.088126959574794</v>
      </c>
      <c r="D83" s="13">
        <f>PARAMETERS!$B$4*C83</f>
        <v>5.1066095219681094</v>
      </c>
      <c r="E83" s="37">
        <f t="shared" si="8"/>
        <v>-3.768827287259429E-2</v>
      </c>
      <c r="F83" s="43"/>
      <c r="G83" s="13">
        <f>G82+PARAMETERS!$B$5*L82-Q82*G82</f>
        <v>7776.2843103644482</v>
      </c>
      <c r="H83" s="13">
        <f>PARAMETERS!$B$4*G83</f>
        <v>583.22132327733357</v>
      </c>
      <c r="I83" s="11">
        <f t="shared" si="9"/>
        <v>2.2870139753520924E-2</v>
      </c>
      <c r="J83" s="38"/>
      <c r="K83" s="112">
        <f t="shared" si="10"/>
        <v>7844.3724373240229</v>
      </c>
      <c r="L83" s="112">
        <f t="shared" si="11"/>
        <v>588.32793279930172</v>
      </c>
      <c r="M83" s="133">
        <f t="shared" si="12"/>
        <v>2.231172712740561E-2</v>
      </c>
      <c r="N83" s="10">
        <f>PARAMETERS!$B$15*D83</f>
        <v>0.69729057886044465</v>
      </c>
      <c r="O83" s="13">
        <f t="shared" si="13"/>
        <v>919.78979582528325</v>
      </c>
      <c r="P83" s="4">
        <f>PARAMETERS!$B$9*O83</f>
        <v>2.0141382390334672</v>
      </c>
      <c r="Q83" s="8">
        <f>MAX(PARAMETERS!$B$6,PARAMETERS!$B$6+PARAMETERS!$B$10*(P83-PARAMETERS!$B$11))</f>
        <v>3.7712073585502007E-2</v>
      </c>
      <c r="R83" s="155">
        <f>PARAMETERS!$B$4/DECARBONISATION!Q83</f>
        <v>1.9887530138049192</v>
      </c>
      <c r="S83" s="47"/>
      <c r="T83" s="1"/>
      <c r="U83" s="1"/>
      <c r="V83" s="5"/>
      <c r="W83" s="1"/>
      <c r="X83" s="1"/>
      <c r="Y83" s="1"/>
      <c r="Z83" s="1"/>
      <c r="AA83" s="1"/>
      <c r="AB83" s="1"/>
    </row>
    <row r="84" spans="1:28" s="2" customFormat="1" ht="20.149999999999999" customHeight="1" x14ac:dyDescent="0.35">
      <c r="A84" s="1">
        <v>2096</v>
      </c>
      <c r="B84" s="39"/>
      <c r="C84" s="13">
        <f t="shared" si="7"/>
        <v>65.520382505376304</v>
      </c>
      <c r="D84" s="13">
        <f>PARAMETERS!$B$4*C84</f>
        <v>4.9140286879032224</v>
      </c>
      <c r="E84" s="37">
        <f t="shared" si="8"/>
        <v>-3.7712073585502076E-2</v>
      </c>
      <c r="F84" s="43"/>
      <c r="G84" s="13">
        <f>G83+PARAMETERS!$B$5*L83-Q83*G83</f>
        <v>7953.6868504696413</v>
      </c>
      <c r="H84" s="13">
        <f>PARAMETERS!$B$4*G84</f>
        <v>596.52651378522307</v>
      </c>
      <c r="I84" s="11">
        <f t="shared" si="9"/>
        <v>2.2813278556282516E-2</v>
      </c>
      <c r="J84" s="38"/>
      <c r="K84" s="112">
        <f t="shared" si="10"/>
        <v>8019.2072329750172</v>
      </c>
      <c r="L84" s="112">
        <f t="shared" si="11"/>
        <v>601.44054247312624</v>
      </c>
      <c r="M84" s="133">
        <f t="shared" si="12"/>
        <v>2.2287926414497936E-2</v>
      </c>
      <c r="N84" s="10">
        <f>PARAMETERS!$B$15*D84</f>
        <v>0.67099430523998227</v>
      </c>
      <c r="O84" s="13">
        <f t="shared" si="13"/>
        <v>920.48708640414372</v>
      </c>
      <c r="P84" s="4">
        <f>PARAMETERS!$B$9*O84</f>
        <v>2.0156651527098037</v>
      </c>
      <c r="Q84" s="8">
        <f>MAX(PARAMETERS!$B$6,PARAMETERS!$B$6+PARAMETERS!$B$10*(P84-PARAMETERS!$B$11))</f>
        <v>3.7734977290647051E-2</v>
      </c>
      <c r="R84" s="155">
        <f>PARAMETERS!$B$4/DECARBONISATION!Q84</f>
        <v>1.9875459158839726</v>
      </c>
      <c r="S84" s="47"/>
      <c r="T84" s="1"/>
      <c r="U84" s="1"/>
      <c r="V84" s="5"/>
      <c r="W84" s="1"/>
      <c r="X84" s="1"/>
      <c r="Y84" s="1"/>
      <c r="Z84" s="1"/>
      <c r="AA84" s="1"/>
      <c r="AB84" s="1"/>
    </row>
    <row r="85" spans="1:28" s="2" customFormat="1" ht="20.149999999999999" customHeight="1" x14ac:dyDescent="0.35">
      <c r="A85" s="1">
        <v>2097</v>
      </c>
      <c r="B85" s="39"/>
      <c r="C85" s="13">
        <f t="shared" si="7"/>
        <v>63.047972359461419</v>
      </c>
      <c r="D85" s="13">
        <f>PARAMETERS!$B$4*C85</f>
        <v>4.7285979269596066</v>
      </c>
      <c r="E85" s="37">
        <f t="shared" si="8"/>
        <v>-3.7734977290646982E-2</v>
      </c>
      <c r="F85" s="43"/>
      <c r="G85" s="13">
        <f>G84+PARAMETERS!$B$5*L84-Q84*G84</f>
        <v>8134.7070917687524</v>
      </c>
      <c r="H85" s="13">
        <f>PARAMETERS!$B$4*G85</f>
        <v>610.10303188265641</v>
      </c>
      <c r="I85" s="11">
        <f t="shared" si="9"/>
        <v>2.2759286944823889E-2</v>
      </c>
      <c r="J85" s="38"/>
      <c r="K85" s="112">
        <f t="shared" si="10"/>
        <v>8197.7550641282141</v>
      </c>
      <c r="L85" s="112">
        <f t="shared" si="11"/>
        <v>614.83162980961606</v>
      </c>
      <c r="M85" s="133">
        <f t="shared" si="12"/>
        <v>2.2265022709353124E-2</v>
      </c>
      <c r="N85" s="10">
        <f>PARAMETERS!$B$15*D85</f>
        <v>0.64567435036959808</v>
      </c>
      <c r="O85" s="13">
        <f t="shared" si="13"/>
        <v>921.15808070938374</v>
      </c>
      <c r="P85" s="4">
        <f>PARAMETERS!$B$9*O85</f>
        <v>2.0171344833052198</v>
      </c>
      <c r="Q85" s="8">
        <f>MAX(PARAMETERS!$B$6,PARAMETERS!$B$6+PARAMETERS!$B$10*(P85-PARAMETERS!$B$11))</f>
        <v>3.7757017249578292E-2</v>
      </c>
      <c r="R85" s="155">
        <f>PARAMETERS!$B$4/DECARBONISATION!Q85</f>
        <v>1.9863857227979964</v>
      </c>
      <c r="S85" s="47"/>
      <c r="T85" s="6"/>
      <c r="U85" s="6"/>
      <c r="V85" s="12"/>
      <c r="W85" s="6"/>
      <c r="X85" s="1"/>
      <c r="Y85" s="1"/>
      <c r="Z85" s="1"/>
      <c r="AA85" s="1"/>
      <c r="AB85" s="1"/>
    </row>
    <row r="86" spans="1:28" s="2" customFormat="1" ht="20.149999999999999" customHeight="1" x14ac:dyDescent="0.35">
      <c r="A86" s="1">
        <v>2098</v>
      </c>
      <c r="B86" s="39"/>
      <c r="C86" s="13">
        <f t="shared" si="7"/>
        <v>60.667468979534299</v>
      </c>
      <c r="D86" s="13">
        <f>PARAMETERS!$B$4*C86</f>
        <v>4.5500601734650719</v>
      </c>
      <c r="E86" s="37">
        <f t="shared" si="8"/>
        <v>-3.7757017249578438E-2</v>
      </c>
      <c r="F86" s="43"/>
      <c r="G86" s="13">
        <f>G85+PARAMETERS!$B$5*L85-Q85*G85</f>
        <v>8319.4301196322667</v>
      </c>
      <c r="H86" s="13">
        <f>PARAMETERS!$B$4*G86</f>
        <v>623.95725897241994</v>
      </c>
      <c r="I86" s="11">
        <f t="shared" si="9"/>
        <v>2.2708012197566272E-2</v>
      </c>
      <c r="J86" s="38"/>
      <c r="K86" s="112">
        <f t="shared" si="10"/>
        <v>8380.0975886118013</v>
      </c>
      <c r="L86" s="112">
        <f t="shared" si="11"/>
        <v>628.50731914588505</v>
      </c>
      <c r="M86" s="133">
        <f t="shared" si="12"/>
        <v>2.2242982750421761E-2</v>
      </c>
      <c r="N86" s="10">
        <f>PARAMETERS!$B$15*D86</f>
        <v>0.62129561278508283</v>
      </c>
      <c r="O86" s="13">
        <f t="shared" si="13"/>
        <v>921.80375505975337</v>
      </c>
      <c r="P86" s="4">
        <f>PARAMETERS!$B$9*O86</f>
        <v>2.0185483687439856</v>
      </c>
      <c r="Q86" s="8">
        <f>MAX(PARAMETERS!$B$6,PARAMETERS!$B$6+PARAMETERS!$B$10*(P86-PARAMETERS!$B$11))</f>
        <v>3.7778225531159781E-2</v>
      </c>
      <c r="R86" s="155">
        <f>PARAMETERS!$B$4/DECARBONISATION!Q86</f>
        <v>1.9852705876335932</v>
      </c>
      <c r="S86" s="47"/>
      <c r="T86" s="1"/>
      <c r="U86" s="1"/>
      <c r="V86" s="5"/>
      <c r="W86" s="1"/>
      <c r="X86" s="6"/>
      <c r="Y86" s="1"/>
      <c r="Z86" s="1"/>
      <c r="AA86" s="1"/>
      <c r="AB86" s="1"/>
    </row>
    <row r="87" spans="1:28" s="2" customFormat="1" ht="20.149999999999999" customHeight="1" x14ac:dyDescent="0.35">
      <c r="A87" s="1">
        <v>2099</v>
      </c>
      <c r="B87" s="39"/>
      <c r="C87" s="13">
        <f t="shared" si="7"/>
        <v>58.375559654020812</v>
      </c>
      <c r="D87" s="13">
        <f>PARAMETERS!$B$4*C87</f>
        <v>4.3781669740515605</v>
      </c>
      <c r="E87" s="37">
        <f t="shared" si="8"/>
        <v>-3.7778225531159747E-2</v>
      </c>
      <c r="F87" s="43"/>
      <c r="G87" s="13">
        <f>G86+PARAMETERS!$B$5*L86-Q86*G86</f>
        <v>8507.9426675987834</v>
      </c>
      <c r="H87" s="13">
        <f>PARAMETERS!$B$4*G87</f>
        <v>638.09570006990873</v>
      </c>
      <c r="I87" s="11">
        <f t="shared" si="9"/>
        <v>2.2659310223865414E-2</v>
      </c>
      <c r="J87" s="38"/>
      <c r="K87" s="112">
        <f t="shared" si="10"/>
        <v>8566.3182272528047</v>
      </c>
      <c r="L87" s="112">
        <f t="shared" si="11"/>
        <v>642.47386704396024</v>
      </c>
      <c r="M87" s="133">
        <f t="shared" si="12"/>
        <v>2.2221774468840143E-2</v>
      </c>
      <c r="N87" s="10">
        <f>PARAMETERS!$B$15*D87</f>
        <v>0.59782416700376784</v>
      </c>
      <c r="O87" s="13">
        <f t="shared" si="13"/>
        <v>922.42505067253842</v>
      </c>
      <c r="P87" s="4">
        <f>PARAMETERS!$B$9*O87</f>
        <v>2.0199088700858505</v>
      </c>
      <c r="Q87" s="8">
        <f>MAX(PARAMETERS!$B$6,PARAMETERS!$B$6+PARAMETERS!$B$10*(P87-PARAMETERS!$B$11))</f>
        <v>3.7798633051287757E-2</v>
      </c>
      <c r="R87" s="155">
        <f>PARAMETERS!$B$4/DECARBONISATION!Q87</f>
        <v>1.9841987380399417</v>
      </c>
      <c r="S87" s="47"/>
      <c r="T87" s="1"/>
      <c r="U87" s="1"/>
      <c r="V87" s="5"/>
      <c r="W87" s="1"/>
      <c r="X87" s="1"/>
      <c r="Y87" s="6"/>
      <c r="Z87" s="1"/>
      <c r="AA87" s="1"/>
      <c r="AB87" s="1"/>
    </row>
    <row r="88" spans="1:28" s="2" customFormat="1" ht="20.149999999999999" customHeight="1" x14ac:dyDescent="0.35">
      <c r="A88" s="1">
        <v>2100</v>
      </c>
      <c r="B88" s="39"/>
      <c r="C88" s="13">
        <f t="shared" si="7"/>
        <v>56.169043295494923</v>
      </c>
      <c r="D88" s="13">
        <f>PARAMETERS!$B$4*C88</f>
        <v>4.2126782471621187</v>
      </c>
      <c r="E88" s="37">
        <f t="shared" si="8"/>
        <v>-3.7798633051287757E-2</v>
      </c>
      <c r="F88" s="43"/>
      <c r="G88" s="13">
        <f>G87+PARAMETERS!$B$5*L87-Q87*G87</f>
        <v>8700.3331583199906</v>
      </c>
      <c r="H88" s="13">
        <f>PARAMETERS!$B$4*G88</f>
        <v>652.5249868739993</v>
      </c>
      <c r="I88" s="11">
        <f t="shared" si="9"/>
        <v>2.2613045037773671E-2</v>
      </c>
      <c r="J88" s="38"/>
      <c r="K88" s="112">
        <f t="shared" si="10"/>
        <v>8756.5022016154853</v>
      </c>
      <c r="L88" s="112">
        <f t="shared" si="11"/>
        <v>656.7376651211614</v>
      </c>
      <c r="M88" s="133">
        <f t="shared" si="12"/>
        <v>2.22013669487123E-2</v>
      </c>
      <c r="N88" s="10">
        <f>PARAMETERS!$B$15*D88</f>
        <v>0.57522723068600068</v>
      </c>
      <c r="O88" s="13">
        <f t="shared" si="13"/>
        <v>923.02287483954217</v>
      </c>
      <c r="P88" s="4">
        <f>PARAMETERS!$B$9*O88</f>
        <v>2.0212179741011873</v>
      </c>
      <c r="Q88" s="8">
        <f>MAX(PARAMETERS!$B$6,PARAMETERS!$B$6+PARAMETERS!$B$10*(P88-PARAMETERS!$B$11))</f>
        <v>3.781826961151781E-2</v>
      </c>
      <c r="R88" s="155">
        <f>PARAMETERS!$B$4/DECARBONISATION!Q88</f>
        <v>1.9831684730799592</v>
      </c>
      <c r="S88" s="47"/>
      <c r="T88" s="1"/>
      <c r="U88" s="1"/>
      <c r="V88" s="5"/>
      <c r="W88" s="1"/>
      <c r="X88" s="1"/>
      <c r="Y88" s="1"/>
      <c r="Z88" s="1"/>
      <c r="AA88" s="1"/>
      <c r="AB88" s="1"/>
    </row>
    <row r="89" spans="1:28" s="2" customFormat="1" ht="20.149999999999999" customHeight="1" x14ac:dyDescent="0.35">
      <c r="A89" s="1"/>
      <c r="B89" s="39"/>
      <c r="C89" s="13"/>
      <c r="D89" s="13"/>
      <c r="E89" s="37"/>
      <c r="F89" s="43"/>
      <c r="G89" s="13"/>
      <c r="H89" s="13"/>
      <c r="I89" s="11"/>
      <c r="J89" s="38"/>
      <c r="K89" s="112"/>
      <c r="L89" s="112"/>
      <c r="M89" s="133"/>
      <c r="N89" s="10"/>
      <c r="O89" s="13"/>
      <c r="P89" s="4"/>
      <c r="Q89" s="8"/>
      <c r="R89" s="155"/>
      <c r="S89" s="47"/>
      <c r="T89" s="1"/>
      <c r="U89" s="1"/>
      <c r="V89" s="5"/>
      <c r="W89" s="1"/>
      <c r="X89" s="1"/>
      <c r="Y89" s="1"/>
      <c r="Z89" s="1"/>
      <c r="AA89" s="1"/>
      <c r="AB89" s="1"/>
    </row>
    <row r="90" spans="1:28" s="2" customFormat="1" ht="20.149999999999999" customHeight="1" x14ac:dyDescent="0.35">
      <c r="A90" s="1"/>
      <c r="B90" s="39"/>
      <c r="C90" s="13"/>
      <c r="D90" s="13"/>
      <c r="E90" s="36"/>
      <c r="F90" s="43"/>
      <c r="G90" s="13"/>
      <c r="H90" s="13"/>
      <c r="I90" s="8"/>
      <c r="J90" s="38"/>
      <c r="K90" s="112"/>
      <c r="L90" s="112"/>
      <c r="M90" s="133"/>
      <c r="N90" s="10"/>
      <c r="O90" s="13"/>
      <c r="P90" s="4"/>
      <c r="Q90" s="8"/>
      <c r="R90" s="155"/>
      <c r="S90" s="47"/>
      <c r="T90" s="1"/>
      <c r="U90" s="1"/>
      <c r="V90" s="5"/>
      <c r="W90" s="1"/>
      <c r="X90" s="1"/>
      <c r="Y90" s="1"/>
      <c r="Z90" s="1"/>
      <c r="AA90" s="1"/>
      <c r="AB90" s="1"/>
    </row>
    <row r="91" spans="1:28" s="2" customFormat="1" ht="20.149999999999999" customHeight="1" x14ac:dyDescent="0.35">
      <c r="A91" s="1"/>
      <c r="B91" s="39"/>
      <c r="C91" s="13"/>
      <c r="D91" s="13"/>
      <c r="E91" s="1"/>
      <c r="F91" s="43"/>
      <c r="G91" s="13"/>
      <c r="H91" s="13"/>
      <c r="I91" s="8"/>
      <c r="J91" s="38"/>
      <c r="K91" s="112"/>
      <c r="L91" s="112"/>
      <c r="M91" s="133"/>
      <c r="N91" s="10"/>
      <c r="O91" s="13"/>
      <c r="P91" s="4"/>
      <c r="Q91" s="8"/>
      <c r="R91" s="155"/>
      <c r="S91" s="47"/>
      <c r="T91" s="1"/>
      <c r="U91" s="1"/>
      <c r="V91" s="5"/>
      <c r="W91" s="1"/>
      <c r="X91" s="1"/>
      <c r="Y91" s="1"/>
      <c r="Z91" s="1"/>
      <c r="AA91" s="1"/>
      <c r="AB91" s="1"/>
    </row>
    <row r="92" spans="1:28" s="2" customFormat="1" ht="20.149999999999999" customHeight="1" x14ac:dyDescent="0.35">
      <c r="A92" s="1"/>
      <c r="B92" s="39"/>
      <c r="C92" s="13"/>
      <c r="D92" s="13"/>
      <c r="E92" s="1"/>
      <c r="F92" s="43"/>
      <c r="G92" s="13"/>
      <c r="H92" s="13"/>
      <c r="I92" s="8"/>
      <c r="J92" s="38"/>
      <c r="K92" s="112"/>
      <c r="L92" s="112"/>
      <c r="M92" s="133"/>
      <c r="N92" s="10"/>
      <c r="O92" s="13"/>
      <c r="P92" s="4"/>
      <c r="Q92" s="8"/>
      <c r="R92" s="155"/>
      <c r="S92" s="47"/>
      <c r="T92" s="1"/>
      <c r="U92" s="1"/>
      <c r="V92" s="5"/>
      <c r="W92" s="1"/>
      <c r="X92" s="1"/>
      <c r="Y92" s="1"/>
      <c r="Z92" s="1"/>
      <c r="AA92" s="1"/>
      <c r="AB92" s="1"/>
    </row>
    <row r="93" spans="1:28" s="2" customFormat="1" ht="20.149999999999999" customHeight="1" x14ac:dyDescent="0.35">
      <c r="A93" s="1"/>
      <c r="B93" s="39"/>
      <c r="C93" s="13"/>
      <c r="D93" s="13"/>
      <c r="E93" s="1"/>
      <c r="F93" s="43"/>
      <c r="G93" s="13"/>
      <c r="H93" s="13"/>
      <c r="I93" s="8"/>
      <c r="J93" s="38"/>
      <c r="K93" s="112"/>
      <c r="L93" s="112"/>
      <c r="M93" s="133"/>
      <c r="N93" s="10"/>
      <c r="O93" s="13"/>
      <c r="P93" s="4"/>
      <c r="Q93" s="8"/>
      <c r="R93" s="155"/>
      <c r="S93" s="47"/>
      <c r="T93" s="1"/>
      <c r="U93" s="1"/>
      <c r="V93" s="5"/>
      <c r="W93" s="1"/>
      <c r="X93" s="1"/>
      <c r="Y93" s="1"/>
      <c r="Z93" s="1"/>
      <c r="AA93" s="1"/>
      <c r="AB93" s="1"/>
    </row>
    <row r="94" spans="1:28" s="2" customFormat="1" ht="20.149999999999999" customHeight="1" x14ac:dyDescent="0.35">
      <c r="A94" s="1"/>
      <c r="B94" s="39"/>
      <c r="C94" s="13"/>
      <c r="D94" s="13"/>
      <c r="E94" s="1"/>
      <c r="F94" s="43"/>
      <c r="G94" s="13"/>
      <c r="H94" s="13"/>
      <c r="I94" s="8"/>
      <c r="J94" s="38"/>
      <c r="K94" s="112"/>
      <c r="L94" s="112"/>
      <c r="M94" s="133"/>
      <c r="N94" s="10"/>
      <c r="O94" s="13"/>
      <c r="P94" s="4"/>
      <c r="Q94" s="8"/>
      <c r="R94" s="155"/>
      <c r="S94" s="47"/>
      <c r="T94" s="6"/>
      <c r="U94" s="6"/>
      <c r="V94" s="12"/>
      <c r="W94" s="6"/>
      <c r="X94" s="1"/>
      <c r="Y94" s="1"/>
      <c r="Z94" s="1"/>
      <c r="AA94" s="1"/>
      <c r="AB94" s="1"/>
    </row>
    <row r="95" spans="1:28" s="2" customFormat="1" ht="20.149999999999999" customHeight="1" x14ac:dyDescent="0.35">
      <c r="A95" s="1"/>
      <c r="B95" s="39"/>
      <c r="C95" s="13"/>
      <c r="D95" s="13"/>
      <c r="E95" s="1"/>
      <c r="F95" s="43"/>
      <c r="G95" s="13"/>
      <c r="H95" s="13"/>
      <c r="I95" s="8"/>
      <c r="J95" s="38"/>
      <c r="K95" s="112"/>
      <c r="L95" s="112"/>
      <c r="M95" s="133"/>
      <c r="N95" s="10"/>
      <c r="O95" s="13"/>
      <c r="P95" s="4"/>
      <c r="Q95" s="8"/>
      <c r="R95" s="155"/>
      <c r="S95" s="47"/>
      <c r="T95" s="1"/>
      <c r="U95" s="1"/>
      <c r="V95" s="5"/>
      <c r="W95" s="1"/>
      <c r="X95" s="6"/>
      <c r="Y95" s="1"/>
      <c r="Z95" s="1"/>
      <c r="AA95" s="1"/>
      <c r="AB95" s="1"/>
    </row>
    <row r="96" spans="1:28" s="2" customFormat="1" ht="20.149999999999999" customHeight="1" x14ac:dyDescent="0.35">
      <c r="A96" s="1"/>
      <c r="B96" s="39"/>
      <c r="C96" s="13"/>
      <c r="D96" s="13"/>
      <c r="E96" s="1"/>
      <c r="F96" s="43"/>
      <c r="G96" s="13"/>
      <c r="H96" s="13"/>
      <c r="I96" s="8"/>
      <c r="J96" s="38"/>
      <c r="K96" s="112"/>
      <c r="L96" s="112"/>
      <c r="M96" s="133"/>
      <c r="N96" s="10"/>
      <c r="O96" s="13"/>
      <c r="P96" s="4"/>
      <c r="Q96" s="8"/>
      <c r="R96" s="155"/>
      <c r="S96" s="47"/>
      <c r="T96" s="1"/>
      <c r="U96" s="1"/>
      <c r="V96" s="5"/>
      <c r="W96" s="1"/>
      <c r="X96" s="1"/>
      <c r="Y96" s="6"/>
      <c r="Z96" s="1"/>
      <c r="AA96" s="1"/>
      <c r="AB96" s="1"/>
    </row>
    <row r="97" spans="1:28" s="2" customFormat="1" ht="20.149999999999999" customHeight="1" x14ac:dyDescent="0.35">
      <c r="A97" s="1"/>
      <c r="B97" s="39"/>
      <c r="C97" s="13"/>
      <c r="D97" s="13"/>
      <c r="E97" s="1"/>
      <c r="F97" s="43"/>
      <c r="G97" s="13"/>
      <c r="H97" s="13"/>
      <c r="I97" s="8"/>
      <c r="J97" s="38"/>
      <c r="K97" s="112"/>
      <c r="L97" s="112"/>
      <c r="M97" s="133"/>
      <c r="N97" s="10"/>
      <c r="O97" s="13"/>
      <c r="P97" s="4"/>
      <c r="Q97" s="8"/>
      <c r="R97" s="155"/>
      <c r="S97" s="47"/>
      <c r="T97" s="1"/>
      <c r="U97" s="1"/>
      <c r="V97" s="5"/>
      <c r="W97" s="1"/>
      <c r="X97" s="1"/>
      <c r="Y97" s="1"/>
      <c r="Z97" s="1"/>
      <c r="AA97" s="1"/>
      <c r="AB97" s="1"/>
    </row>
    <row r="98" spans="1:28" ht="20.149999999999999" customHeight="1" x14ac:dyDescent="0.35">
      <c r="E98" s="1"/>
      <c r="J98" s="38"/>
      <c r="K98" s="112"/>
      <c r="L98" s="112"/>
    </row>
    <row r="99" spans="1:28" ht="20.149999999999999" customHeight="1" x14ac:dyDescent="0.35">
      <c r="E99" s="1"/>
      <c r="J99" s="38"/>
      <c r="K99" s="112"/>
      <c r="L99" s="112"/>
    </row>
    <row r="100" spans="1:28" ht="20.149999999999999" customHeight="1" x14ac:dyDescent="0.35">
      <c r="E100" s="1"/>
      <c r="J100" s="38"/>
      <c r="K100" s="112"/>
      <c r="L100" s="112"/>
    </row>
    <row r="101" spans="1:28" ht="20.149999999999999" customHeight="1" x14ac:dyDescent="0.35">
      <c r="E101" s="1"/>
      <c r="J101" s="38"/>
      <c r="K101" s="112"/>
      <c r="L101" s="112"/>
    </row>
    <row r="102" spans="1:28" ht="20.149999999999999" customHeight="1" x14ac:dyDescent="0.35">
      <c r="E102" s="1"/>
      <c r="J102" s="38"/>
      <c r="K102" s="112"/>
      <c r="L102" s="112"/>
    </row>
    <row r="103" spans="1:28" ht="20.149999999999999" customHeight="1" x14ac:dyDescent="0.35">
      <c r="E103" s="1"/>
      <c r="J103" s="38"/>
      <c r="K103" s="112"/>
      <c r="L103" s="112"/>
    </row>
    <row r="104" spans="1:28" ht="20.149999999999999" customHeight="1" x14ac:dyDescent="0.35">
      <c r="E104" s="1"/>
      <c r="J104" s="38"/>
      <c r="K104" s="112"/>
      <c r="L104" s="112"/>
    </row>
    <row r="105" spans="1:28" ht="20.149999999999999" customHeight="1" x14ac:dyDescent="0.35">
      <c r="E105" s="1"/>
      <c r="J105" s="38"/>
      <c r="K105" s="112"/>
      <c r="L105" s="112"/>
      <c r="T105" s="6"/>
      <c r="U105" s="6"/>
      <c r="V105" s="12"/>
      <c r="W105" s="6"/>
    </row>
    <row r="106" spans="1:28" ht="20.149999999999999" customHeight="1" x14ac:dyDescent="0.35">
      <c r="E106" s="1"/>
      <c r="J106" s="38"/>
      <c r="K106" s="112"/>
      <c r="L106" s="112"/>
      <c r="T106" s="6"/>
      <c r="U106" s="6"/>
      <c r="V106" s="12"/>
      <c r="W106" s="6"/>
      <c r="X106" s="6"/>
      <c r="Y106" s="6"/>
    </row>
    <row r="107" spans="1:28" ht="20.149999999999999" customHeight="1" x14ac:dyDescent="0.35">
      <c r="E107" s="1"/>
      <c r="J107" s="38"/>
      <c r="K107" s="112"/>
      <c r="L107" s="112"/>
      <c r="T107" s="6"/>
      <c r="U107" s="6"/>
      <c r="V107" s="12"/>
      <c r="W107" s="6"/>
      <c r="X107" s="6"/>
      <c r="Y107" s="6"/>
    </row>
    <row r="108" spans="1:28" s="6" customFormat="1" ht="20.149999999999999" customHeight="1" x14ac:dyDescent="0.35">
      <c r="A108" s="1"/>
      <c r="B108" s="39"/>
      <c r="C108" s="13"/>
      <c r="D108" s="13"/>
      <c r="E108" s="1"/>
      <c r="F108" s="43"/>
      <c r="G108" s="13"/>
      <c r="H108" s="13"/>
      <c r="I108" s="8"/>
      <c r="J108" s="38"/>
      <c r="K108" s="112"/>
      <c r="L108" s="112"/>
      <c r="M108" s="133"/>
      <c r="N108" s="10"/>
      <c r="O108" s="13"/>
      <c r="P108" s="4"/>
      <c r="Q108" s="8"/>
      <c r="R108" s="155"/>
      <c r="S108" s="47"/>
      <c r="V108" s="12"/>
      <c r="AB108" s="1"/>
    </row>
    <row r="109" spans="1:28" ht="20.149999999999999" customHeight="1" x14ac:dyDescent="0.35">
      <c r="E109" s="1"/>
      <c r="J109" s="38"/>
      <c r="K109" s="112"/>
      <c r="L109" s="112"/>
      <c r="X109" s="6"/>
      <c r="Y109" s="6"/>
    </row>
    <row r="110" spans="1:28" ht="20.149999999999999" customHeight="1" x14ac:dyDescent="0.35">
      <c r="E110" s="1"/>
      <c r="J110" s="38"/>
      <c r="K110" s="112"/>
      <c r="L110" s="112"/>
    </row>
    <row r="111" spans="1:28" ht="20.149999999999999" customHeight="1" x14ac:dyDescent="0.35">
      <c r="E111" s="1"/>
      <c r="J111" s="38"/>
      <c r="K111" s="112"/>
      <c r="L111" s="112"/>
    </row>
    <row r="112" spans="1:28" ht="20.149999999999999" customHeight="1" x14ac:dyDescent="0.35">
      <c r="E112" s="1"/>
      <c r="J112" s="38"/>
      <c r="K112" s="112"/>
      <c r="L112" s="112"/>
      <c r="Z112" s="6"/>
    </row>
    <row r="113" spans="1:28" ht="20.149999999999999" customHeight="1" x14ac:dyDescent="0.35">
      <c r="E113" s="1"/>
      <c r="J113" s="38"/>
      <c r="K113" s="112"/>
      <c r="L113" s="112"/>
    </row>
    <row r="114" spans="1:28" ht="20.149999999999999" customHeight="1" x14ac:dyDescent="0.35">
      <c r="E114" s="1"/>
      <c r="J114" s="38"/>
      <c r="K114" s="112"/>
      <c r="L114" s="112"/>
    </row>
    <row r="115" spans="1:28" ht="20.149999999999999" customHeight="1" x14ac:dyDescent="0.35">
      <c r="E115" s="1"/>
      <c r="J115" s="38"/>
      <c r="K115" s="112"/>
      <c r="L115" s="112"/>
    </row>
    <row r="116" spans="1:28" ht="20.149999999999999" customHeight="1" x14ac:dyDescent="0.35">
      <c r="E116" s="1"/>
      <c r="J116" s="38"/>
      <c r="K116" s="112"/>
      <c r="L116" s="112"/>
      <c r="AA116" s="6"/>
    </row>
    <row r="117" spans="1:28" s="6" customFormat="1" ht="20.149999999999999" customHeight="1" x14ac:dyDescent="0.35">
      <c r="A117" s="1"/>
      <c r="B117" s="39"/>
      <c r="C117" s="13"/>
      <c r="D117" s="13"/>
      <c r="E117" s="1"/>
      <c r="F117" s="43"/>
      <c r="G117" s="13"/>
      <c r="H117" s="13"/>
      <c r="I117" s="8"/>
      <c r="J117" s="38"/>
      <c r="K117" s="112"/>
      <c r="L117" s="112"/>
      <c r="M117" s="133"/>
      <c r="N117" s="10"/>
      <c r="O117" s="13"/>
      <c r="P117" s="4"/>
      <c r="Q117" s="8"/>
      <c r="R117" s="155"/>
      <c r="S117" s="47"/>
      <c r="T117" s="1"/>
      <c r="U117" s="1"/>
      <c r="V117" s="5"/>
      <c r="W117" s="1"/>
      <c r="X117" s="1"/>
      <c r="Y117" s="1"/>
      <c r="AB117" s="1"/>
    </row>
    <row r="118" spans="1:28" ht="20.149999999999999" customHeight="1" x14ac:dyDescent="0.35">
      <c r="E118" s="1"/>
      <c r="J118" s="38"/>
      <c r="K118" s="112"/>
      <c r="L118" s="112"/>
    </row>
    <row r="119" spans="1:28" ht="20.149999999999999" customHeight="1" x14ac:dyDescent="0.35">
      <c r="E119" s="1"/>
      <c r="J119" s="38"/>
      <c r="K119" s="112"/>
      <c r="L119" s="112"/>
    </row>
    <row r="120" spans="1:28" ht="20.149999999999999" customHeight="1" x14ac:dyDescent="0.35">
      <c r="E120" s="1"/>
      <c r="J120" s="38"/>
      <c r="K120" s="112"/>
      <c r="L120" s="112"/>
    </row>
    <row r="121" spans="1:28" ht="20.149999999999999" customHeight="1" x14ac:dyDescent="0.35">
      <c r="E121" s="1"/>
      <c r="J121" s="38"/>
      <c r="K121" s="112"/>
      <c r="L121" s="112"/>
    </row>
    <row r="122" spans="1:28" ht="20.149999999999999" customHeight="1" x14ac:dyDescent="0.35">
      <c r="E122" s="1"/>
      <c r="J122" s="38"/>
      <c r="K122" s="112"/>
      <c r="L122" s="112"/>
    </row>
    <row r="123" spans="1:28" ht="20.149999999999999" customHeight="1" x14ac:dyDescent="0.35">
      <c r="E123" s="1"/>
      <c r="J123" s="38"/>
      <c r="K123" s="112"/>
      <c r="L123" s="112"/>
    </row>
    <row r="124" spans="1:28" ht="20.149999999999999" customHeight="1" x14ac:dyDescent="0.35">
      <c r="E124" s="1"/>
      <c r="J124" s="38"/>
      <c r="K124" s="112"/>
      <c r="L124" s="112"/>
    </row>
    <row r="125" spans="1:28" ht="20.149999999999999" customHeight="1" x14ac:dyDescent="0.35">
      <c r="E125" s="1"/>
      <c r="J125" s="38"/>
      <c r="K125" s="112"/>
      <c r="L125" s="112"/>
    </row>
    <row r="126" spans="1:28" ht="20.149999999999999" customHeight="1" x14ac:dyDescent="0.35">
      <c r="E126" s="1"/>
      <c r="J126" s="38"/>
      <c r="K126" s="112"/>
      <c r="L126" s="112"/>
    </row>
    <row r="127" spans="1:28" s="6" customFormat="1" ht="20.149999999999999" customHeight="1" x14ac:dyDescent="0.35">
      <c r="A127" s="1"/>
      <c r="B127" s="39"/>
      <c r="C127" s="13"/>
      <c r="D127" s="13"/>
      <c r="E127" s="1"/>
      <c r="F127" s="43"/>
      <c r="G127" s="13"/>
      <c r="H127" s="13"/>
      <c r="I127" s="8"/>
      <c r="J127" s="38"/>
      <c r="K127" s="112"/>
      <c r="L127" s="112"/>
      <c r="M127" s="133"/>
      <c r="N127" s="10"/>
      <c r="O127" s="13"/>
      <c r="P127" s="4"/>
      <c r="Q127" s="8"/>
      <c r="R127" s="155"/>
      <c r="S127" s="47"/>
      <c r="T127" s="1"/>
      <c r="U127" s="1"/>
      <c r="V127" s="5"/>
      <c r="W127" s="1"/>
      <c r="X127" s="1"/>
      <c r="Y127" s="1"/>
    </row>
    <row r="128" spans="1:28" s="6" customFormat="1" ht="20.149999999999999" customHeight="1" x14ac:dyDescent="0.35">
      <c r="A128" s="1"/>
      <c r="B128" s="39"/>
      <c r="C128" s="13"/>
      <c r="D128" s="13"/>
      <c r="E128" s="1"/>
      <c r="F128" s="43"/>
      <c r="G128" s="13"/>
      <c r="H128" s="13"/>
      <c r="I128" s="8"/>
      <c r="J128" s="38"/>
      <c r="K128" s="112"/>
      <c r="L128" s="112"/>
      <c r="M128" s="133"/>
      <c r="N128" s="10"/>
      <c r="O128" s="13"/>
      <c r="P128" s="4"/>
      <c r="Q128" s="8"/>
      <c r="R128" s="155"/>
      <c r="S128" s="47"/>
      <c r="T128" s="1"/>
      <c r="U128" s="1"/>
      <c r="V128" s="5"/>
      <c r="W128" s="1"/>
      <c r="X128" s="1"/>
      <c r="Y128" s="1"/>
    </row>
    <row r="129" spans="1:28" s="6" customFormat="1" ht="20.25" customHeight="1" x14ac:dyDescent="0.35">
      <c r="A129" s="1"/>
      <c r="B129" s="39"/>
      <c r="C129" s="13"/>
      <c r="D129" s="13"/>
      <c r="E129" s="1"/>
      <c r="F129" s="43"/>
      <c r="G129" s="13"/>
      <c r="H129" s="13"/>
      <c r="I129" s="8"/>
      <c r="J129" s="38"/>
      <c r="K129" s="112"/>
      <c r="L129" s="112"/>
      <c r="M129" s="133"/>
      <c r="N129" s="10"/>
      <c r="O129" s="13"/>
      <c r="P129" s="4"/>
      <c r="Q129" s="8"/>
      <c r="R129" s="155"/>
      <c r="S129" s="47"/>
      <c r="T129" s="1"/>
      <c r="U129" s="1"/>
      <c r="V129" s="5"/>
      <c r="W129" s="1"/>
      <c r="X129" s="1"/>
      <c r="Y129" s="1"/>
    </row>
    <row r="130" spans="1:28" ht="20.149999999999999" customHeight="1" x14ac:dyDescent="0.35">
      <c r="E130" s="1"/>
      <c r="J130" s="38"/>
      <c r="K130" s="112"/>
      <c r="L130" s="112"/>
    </row>
    <row r="131" spans="1:28" ht="20.149999999999999" customHeight="1" x14ac:dyDescent="0.35">
      <c r="E131" s="1"/>
      <c r="J131" s="38"/>
      <c r="K131" s="112"/>
      <c r="L131" s="112"/>
    </row>
    <row r="132" spans="1:28" s="2" customFormat="1" ht="20.149999999999999" customHeight="1" x14ac:dyDescent="0.35">
      <c r="A132" s="1"/>
      <c r="B132" s="39"/>
      <c r="C132" s="13"/>
      <c r="D132" s="13"/>
      <c r="E132" s="1"/>
      <c r="F132" s="43"/>
      <c r="G132" s="13"/>
      <c r="H132" s="13"/>
      <c r="I132" s="8"/>
      <c r="J132" s="38"/>
      <c r="K132" s="112"/>
      <c r="L132" s="112"/>
      <c r="M132" s="133"/>
      <c r="N132" s="10"/>
      <c r="O132" s="13"/>
      <c r="P132" s="4"/>
      <c r="Q132" s="8"/>
      <c r="R132" s="155"/>
      <c r="S132" s="47"/>
      <c r="T132" s="1"/>
      <c r="U132" s="1"/>
      <c r="V132" s="5"/>
      <c r="W132" s="1"/>
      <c r="X132" s="1"/>
      <c r="Y132" s="1"/>
      <c r="Z132" s="1"/>
      <c r="AA132" s="1"/>
      <c r="AB132" s="1"/>
    </row>
    <row r="133" spans="1:28" s="2" customFormat="1" ht="20.149999999999999" customHeight="1" x14ac:dyDescent="0.35">
      <c r="A133" s="1"/>
      <c r="B133" s="39"/>
      <c r="C133" s="13"/>
      <c r="D133" s="13"/>
      <c r="E133" s="1"/>
      <c r="F133" s="43"/>
      <c r="G133" s="13"/>
      <c r="H133" s="13"/>
      <c r="I133" s="8"/>
      <c r="J133" s="38"/>
      <c r="K133" s="112"/>
      <c r="L133" s="112"/>
      <c r="M133" s="133"/>
      <c r="N133" s="10"/>
      <c r="O133" s="13"/>
      <c r="P133" s="4"/>
      <c r="Q133" s="8"/>
      <c r="R133" s="155"/>
      <c r="S133" s="47"/>
      <c r="T133" s="1"/>
      <c r="U133" s="1"/>
      <c r="V133" s="5"/>
      <c r="W133" s="1"/>
      <c r="X133" s="1"/>
      <c r="Y133" s="1"/>
      <c r="Z133" s="1"/>
      <c r="AA133" s="1"/>
      <c r="AB133" s="1"/>
    </row>
    <row r="134" spans="1:28" s="2" customFormat="1" ht="20.149999999999999" customHeight="1" x14ac:dyDescent="0.35">
      <c r="A134" s="1"/>
      <c r="B134" s="39"/>
      <c r="C134" s="13"/>
      <c r="D134" s="13"/>
      <c r="E134" s="1"/>
      <c r="F134" s="43"/>
      <c r="G134" s="13"/>
      <c r="H134" s="13"/>
      <c r="I134" s="8"/>
      <c r="J134" s="38"/>
      <c r="K134" s="112"/>
      <c r="L134" s="112"/>
      <c r="M134" s="133"/>
      <c r="N134" s="10"/>
      <c r="O134" s="13"/>
      <c r="P134" s="4"/>
      <c r="Q134" s="8"/>
      <c r="R134" s="155"/>
      <c r="S134" s="47"/>
      <c r="T134" s="1"/>
      <c r="U134" s="1"/>
      <c r="V134" s="5"/>
      <c r="W134" s="1"/>
      <c r="X134" s="1"/>
      <c r="Y134" s="1"/>
      <c r="Z134" s="1"/>
      <c r="AA134" s="1"/>
      <c r="AB134" s="1"/>
    </row>
    <row r="135" spans="1:28" s="2" customFormat="1" ht="20.149999999999999" customHeight="1" x14ac:dyDescent="0.35">
      <c r="A135" s="1"/>
      <c r="B135" s="39"/>
      <c r="C135" s="13"/>
      <c r="D135" s="13"/>
      <c r="E135" s="1"/>
      <c r="F135" s="43"/>
      <c r="G135" s="13"/>
      <c r="H135" s="13"/>
      <c r="I135" s="8"/>
      <c r="J135" s="38"/>
      <c r="K135" s="112"/>
      <c r="L135" s="112"/>
      <c r="M135" s="133"/>
      <c r="N135" s="10"/>
      <c r="O135" s="13"/>
      <c r="P135" s="4"/>
      <c r="Q135" s="8"/>
      <c r="R135" s="155"/>
      <c r="S135" s="47"/>
      <c r="T135" s="1"/>
      <c r="U135" s="1"/>
      <c r="V135" s="5"/>
      <c r="W135" s="1"/>
      <c r="X135" s="1"/>
      <c r="Y135" s="1"/>
      <c r="Z135" s="1"/>
      <c r="AA135" s="1"/>
      <c r="AB135" s="1"/>
    </row>
    <row r="136" spans="1:28" s="2" customFormat="1" ht="20.149999999999999" customHeight="1" x14ac:dyDescent="0.35">
      <c r="A136" s="1"/>
      <c r="B136" s="39"/>
      <c r="C136" s="13"/>
      <c r="D136" s="13"/>
      <c r="E136" s="1"/>
      <c r="F136" s="43"/>
      <c r="G136" s="13"/>
      <c r="H136" s="13"/>
      <c r="I136" s="8"/>
      <c r="J136" s="38"/>
      <c r="K136" s="112"/>
      <c r="L136" s="112"/>
      <c r="M136" s="133"/>
      <c r="N136" s="10"/>
      <c r="O136" s="13"/>
      <c r="P136" s="4"/>
      <c r="Q136" s="8"/>
      <c r="R136" s="155"/>
      <c r="S136" s="47"/>
      <c r="T136" s="1"/>
      <c r="U136" s="1"/>
      <c r="V136" s="5"/>
      <c r="W136" s="1"/>
      <c r="X136" s="1"/>
      <c r="Y136" s="1"/>
      <c r="Z136" s="1"/>
      <c r="AA136" s="1"/>
      <c r="AB136" s="1"/>
    </row>
    <row r="137" spans="1:28" s="2" customFormat="1" ht="20.149999999999999" customHeight="1" x14ac:dyDescent="0.35">
      <c r="A137" s="1"/>
      <c r="B137" s="39"/>
      <c r="C137" s="13"/>
      <c r="D137" s="13"/>
      <c r="E137" s="1"/>
      <c r="F137" s="43"/>
      <c r="G137" s="13"/>
      <c r="H137" s="13"/>
      <c r="I137" s="8"/>
      <c r="J137" s="38"/>
      <c r="K137" s="112"/>
      <c r="L137" s="112"/>
      <c r="M137" s="133"/>
      <c r="N137" s="10"/>
      <c r="O137" s="13"/>
      <c r="P137" s="4"/>
      <c r="Q137" s="8"/>
      <c r="R137" s="155"/>
      <c r="S137" s="47"/>
      <c r="T137" s="1"/>
      <c r="U137" s="1"/>
      <c r="V137" s="5"/>
      <c r="W137" s="1"/>
      <c r="X137" s="1"/>
      <c r="Y137" s="1"/>
      <c r="Z137" s="1"/>
      <c r="AA137" s="1"/>
      <c r="AB137" s="1"/>
    </row>
    <row r="138" spans="1:28" s="2" customFormat="1" ht="20.149999999999999" customHeight="1" x14ac:dyDescent="0.35">
      <c r="A138" s="1"/>
      <c r="B138" s="39"/>
      <c r="C138" s="13"/>
      <c r="D138" s="13"/>
      <c r="E138" s="1"/>
      <c r="F138" s="43"/>
      <c r="G138" s="13"/>
      <c r="H138" s="13"/>
      <c r="I138" s="8"/>
      <c r="J138" s="38"/>
      <c r="K138" s="112"/>
      <c r="L138" s="112"/>
      <c r="M138" s="133"/>
      <c r="N138" s="10"/>
      <c r="O138" s="13"/>
      <c r="P138" s="4"/>
      <c r="Q138" s="8"/>
      <c r="R138" s="155"/>
      <c r="S138" s="47"/>
      <c r="T138" s="1"/>
      <c r="U138" s="1"/>
      <c r="V138" s="5"/>
      <c r="W138" s="1"/>
      <c r="X138" s="1"/>
      <c r="Y138" s="1"/>
      <c r="Z138" s="1"/>
      <c r="AA138" s="1"/>
      <c r="AB138" s="1"/>
    </row>
    <row r="139" spans="1:28" s="2" customFormat="1" ht="20.149999999999999" customHeight="1" x14ac:dyDescent="0.35">
      <c r="A139" s="1"/>
      <c r="B139" s="39"/>
      <c r="C139" s="13"/>
      <c r="D139" s="13"/>
      <c r="E139" s="1"/>
      <c r="F139" s="43"/>
      <c r="G139" s="13"/>
      <c r="H139" s="13"/>
      <c r="I139" s="8"/>
      <c r="J139" s="38"/>
      <c r="K139" s="112"/>
      <c r="L139" s="112"/>
      <c r="M139" s="133"/>
      <c r="N139" s="10"/>
      <c r="O139" s="13"/>
      <c r="P139" s="4"/>
      <c r="Q139" s="8"/>
      <c r="R139" s="155"/>
      <c r="S139" s="47"/>
      <c r="T139" s="1"/>
      <c r="U139" s="1"/>
      <c r="V139" s="5"/>
      <c r="W139" s="1"/>
      <c r="X139" s="1"/>
      <c r="Y139" s="1"/>
      <c r="Z139" s="1"/>
      <c r="AA139" s="1"/>
      <c r="AB139" s="1"/>
    </row>
    <row r="140" spans="1:28" s="2" customFormat="1" ht="20.149999999999999" customHeight="1" x14ac:dyDescent="0.35">
      <c r="A140" s="1"/>
      <c r="B140" s="39"/>
      <c r="C140" s="13"/>
      <c r="D140" s="13"/>
      <c r="E140" s="1"/>
      <c r="F140" s="43"/>
      <c r="G140" s="13"/>
      <c r="H140" s="13"/>
      <c r="I140" s="8"/>
      <c r="J140" s="38"/>
      <c r="K140" s="112"/>
      <c r="L140" s="112"/>
      <c r="M140" s="133"/>
      <c r="N140" s="10"/>
      <c r="O140" s="13"/>
      <c r="P140" s="4"/>
      <c r="Q140" s="8"/>
      <c r="R140" s="155"/>
      <c r="S140" s="47"/>
      <c r="T140" s="1"/>
      <c r="U140" s="1"/>
      <c r="V140" s="5"/>
      <c r="W140" s="1"/>
      <c r="X140" s="1"/>
      <c r="Y140" s="1"/>
      <c r="Z140" s="1"/>
      <c r="AA140" s="1"/>
      <c r="AB140" s="1"/>
    </row>
    <row r="141" spans="1:28" s="2" customFormat="1" ht="20.149999999999999" customHeight="1" x14ac:dyDescent="0.35">
      <c r="A141" s="1"/>
      <c r="B141" s="39"/>
      <c r="C141" s="13"/>
      <c r="D141" s="13"/>
      <c r="E141" s="1"/>
      <c r="F141" s="43"/>
      <c r="G141" s="13"/>
      <c r="H141" s="13"/>
      <c r="I141" s="8"/>
      <c r="J141" s="38"/>
      <c r="K141" s="112"/>
      <c r="L141" s="112"/>
      <c r="M141" s="133"/>
      <c r="N141" s="10"/>
      <c r="O141" s="13"/>
      <c r="P141" s="4"/>
      <c r="Q141" s="8"/>
      <c r="R141" s="155"/>
      <c r="S141" s="47"/>
      <c r="T141" s="1"/>
      <c r="U141" s="1"/>
      <c r="V141" s="5"/>
      <c r="W141" s="1"/>
      <c r="X141" s="1"/>
      <c r="Y141" s="1"/>
      <c r="Z141" s="1"/>
      <c r="AA141" s="1"/>
      <c r="AB141" s="1"/>
    </row>
    <row r="142" spans="1:28" s="2" customFormat="1" ht="20.149999999999999" customHeight="1" x14ac:dyDescent="0.35">
      <c r="A142" s="1"/>
      <c r="B142" s="39"/>
      <c r="C142" s="13"/>
      <c r="D142" s="13"/>
      <c r="E142" s="1"/>
      <c r="F142" s="43"/>
      <c r="G142" s="13"/>
      <c r="H142" s="13"/>
      <c r="I142" s="8"/>
      <c r="J142" s="38"/>
      <c r="K142" s="112"/>
      <c r="L142" s="112"/>
      <c r="M142" s="133"/>
      <c r="N142" s="10"/>
      <c r="O142" s="13"/>
      <c r="P142" s="4"/>
      <c r="Q142" s="8"/>
      <c r="R142" s="155"/>
      <c r="S142" s="47"/>
      <c r="T142" s="1"/>
      <c r="U142" s="1"/>
      <c r="V142" s="5"/>
      <c r="W142" s="1"/>
      <c r="X142" s="1"/>
      <c r="Y142" s="1"/>
      <c r="Z142" s="1"/>
      <c r="AA142" s="1"/>
      <c r="AB142" s="1"/>
    </row>
    <row r="143" spans="1:28" s="2" customFormat="1" ht="20.149999999999999" customHeight="1" x14ac:dyDescent="0.35">
      <c r="A143" s="1"/>
      <c r="B143" s="39"/>
      <c r="C143" s="13"/>
      <c r="D143" s="13"/>
      <c r="E143" s="1"/>
      <c r="F143" s="43"/>
      <c r="G143" s="13"/>
      <c r="H143" s="13"/>
      <c r="I143" s="8"/>
      <c r="J143" s="38"/>
      <c r="K143" s="112"/>
      <c r="L143" s="112"/>
      <c r="M143" s="133"/>
      <c r="N143" s="10"/>
      <c r="O143" s="13"/>
      <c r="P143" s="4"/>
      <c r="Q143" s="8"/>
      <c r="R143" s="155"/>
      <c r="S143" s="47"/>
      <c r="T143" s="1"/>
      <c r="U143" s="1"/>
      <c r="V143" s="5"/>
      <c r="W143" s="1"/>
      <c r="X143" s="1"/>
      <c r="Y143" s="1"/>
      <c r="Z143" s="1"/>
      <c r="AA143" s="1"/>
      <c r="AB143" s="1"/>
    </row>
    <row r="144" spans="1:28" s="2" customFormat="1" ht="20.149999999999999" customHeight="1" x14ac:dyDescent="0.35">
      <c r="A144" s="1"/>
      <c r="B144" s="39"/>
      <c r="C144" s="13"/>
      <c r="D144" s="13"/>
      <c r="E144" s="1"/>
      <c r="F144" s="43"/>
      <c r="G144" s="13"/>
      <c r="H144" s="13"/>
      <c r="I144" s="8"/>
      <c r="J144" s="38"/>
      <c r="K144" s="112"/>
      <c r="L144" s="112"/>
      <c r="M144" s="133"/>
      <c r="N144" s="10"/>
      <c r="O144" s="13"/>
      <c r="P144" s="4"/>
      <c r="Q144" s="8"/>
      <c r="R144" s="155"/>
      <c r="S144" s="47"/>
      <c r="T144" s="1"/>
      <c r="U144" s="1"/>
      <c r="V144" s="5"/>
      <c r="W144" s="1"/>
      <c r="X144" s="1"/>
      <c r="Y144" s="1"/>
      <c r="Z144" s="1"/>
      <c r="AA144" s="1"/>
      <c r="AB144" s="1"/>
    </row>
    <row r="145" spans="1:28" s="2" customFormat="1" ht="20.149999999999999" customHeight="1" x14ac:dyDescent="0.35">
      <c r="A145" s="1"/>
      <c r="B145" s="39"/>
      <c r="C145" s="13"/>
      <c r="D145" s="13"/>
      <c r="E145" s="1"/>
      <c r="F145" s="43"/>
      <c r="G145" s="13"/>
      <c r="H145" s="13"/>
      <c r="I145" s="8"/>
      <c r="J145" s="38"/>
      <c r="K145" s="112"/>
      <c r="L145" s="112"/>
      <c r="M145" s="133"/>
      <c r="N145" s="10"/>
      <c r="O145" s="13"/>
      <c r="P145" s="4"/>
      <c r="Q145" s="8"/>
      <c r="R145" s="155"/>
      <c r="S145" s="47"/>
      <c r="T145" s="1"/>
      <c r="U145" s="1"/>
      <c r="V145" s="5"/>
      <c r="W145" s="1"/>
      <c r="X145" s="1"/>
      <c r="Y145" s="1"/>
      <c r="Z145" s="1"/>
      <c r="AA145" s="1"/>
      <c r="AB145" s="1"/>
    </row>
    <row r="146" spans="1:28" s="2" customFormat="1" ht="20.149999999999999" customHeight="1" x14ac:dyDescent="0.35">
      <c r="A146" s="1"/>
      <c r="B146" s="39"/>
      <c r="C146" s="13"/>
      <c r="D146" s="13"/>
      <c r="E146" s="1"/>
      <c r="F146" s="43"/>
      <c r="G146" s="13"/>
      <c r="H146" s="13"/>
      <c r="I146" s="8"/>
      <c r="J146" s="38"/>
      <c r="K146" s="112"/>
      <c r="L146" s="112"/>
      <c r="M146" s="133"/>
      <c r="N146" s="10"/>
      <c r="O146" s="13"/>
      <c r="P146" s="4"/>
      <c r="Q146" s="8"/>
      <c r="R146" s="155"/>
      <c r="S146" s="47"/>
      <c r="T146" s="1"/>
      <c r="U146" s="1"/>
      <c r="V146" s="5"/>
      <c r="W146" s="1"/>
      <c r="X146" s="1"/>
      <c r="Y146" s="1"/>
      <c r="Z146" s="1"/>
      <c r="AA146" s="1"/>
      <c r="AB146" s="1"/>
    </row>
    <row r="147" spans="1:28" s="2" customFormat="1" ht="20.149999999999999" customHeight="1" x14ac:dyDescent="0.35">
      <c r="A147" s="1"/>
      <c r="B147" s="39"/>
      <c r="C147" s="13"/>
      <c r="D147" s="13"/>
      <c r="E147" s="1"/>
      <c r="F147" s="43"/>
      <c r="G147" s="13"/>
      <c r="H147" s="13"/>
      <c r="I147" s="8"/>
      <c r="J147" s="38"/>
      <c r="K147" s="112"/>
      <c r="L147" s="112"/>
      <c r="M147" s="133"/>
      <c r="N147" s="10"/>
      <c r="O147" s="13"/>
      <c r="P147" s="4"/>
      <c r="Q147" s="8"/>
      <c r="R147" s="155"/>
      <c r="S147" s="47"/>
      <c r="T147" s="1"/>
      <c r="U147" s="1"/>
      <c r="V147" s="5"/>
      <c r="W147" s="1"/>
      <c r="X147" s="1"/>
      <c r="Y147" s="1"/>
      <c r="Z147" s="1"/>
      <c r="AA147" s="1"/>
      <c r="AB147" s="1"/>
    </row>
    <row r="148" spans="1:28" s="2" customFormat="1" ht="20.149999999999999" customHeight="1" x14ac:dyDescent="0.35">
      <c r="A148" s="1"/>
      <c r="B148" s="39"/>
      <c r="C148" s="13"/>
      <c r="D148" s="13"/>
      <c r="E148" s="1"/>
      <c r="F148" s="43"/>
      <c r="G148" s="13"/>
      <c r="H148" s="13"/>
      <c r="I148" s="8"/>
      <c r="J148" s="38"/>
      <c r="K148" s="112"/>
      <c r="L148" s="112"/>
      <c r="M148" s="133"/>
      <c r="N148" s="10"/>
      <c r="O148" s="13"/>
      <c r="P148" s="4"/>
      <c r="Q148" s="8"/>
      <c r="R148" s="155"/>
      <c r="S148" s="47"/>
      <c r="T148" s="1"/>
      <c r="U148" s="1"/>
      <c r="V148" s="5"/>
      <c r="W148" s="1"/>
      <c r="X148" s="1"/>
      <c r="Y148" s="1"/>
      <c r="Z148" s="1"/>
      <c r="AA148" s="1"/>
      <c r="AB148" s="1"/>
    </row>
    <row r="149" spans="1:28" s="2" customFormat="1" ht="20.149999999999999" customHeight="1" x14ac:dyDescent="0.35">
      <c r="A149" s="1"/>
      <c r="B149" s="39"/>
      <c r="C149" s="13"/>
      <c r="D149" s="13"/>
      <c r="E149" s="1"/>
      <c r="F149" s="43"/>
      <c r="G149" s="13"/>
      <c r="H149" s="13"/>
      <c r="I149" s="8"/>
      <c r="J149" s="38"/>
      <c r="K149" s="112"/>
      <c r="L149" s="112"/>
      <c r="M149" s="133"/>
      <c r="N149" s="10"/>
      <c r="O149" s="13"/>
      <c r="P149" s="4"/>
      <c r="Q149" s="8"/>
      <c r="R149" s="155"/>
      <c r="S149" s="47"/>
      <c r="T149" s="1"/>
      <c r="U149" s="1"/>
      <c r="V149" s="5"/>
      <c r="W149" s="1"/>
      <c r="X149" s="1"/>
      <c r="Y149" s="1"/>
      <c r="Z149" s="1"/>
      <c r="AA149" s="1"/>
      <c r="AB149" s="1"/>
    </row>
    <row r="150" spans="1:28" s="2" customFormat="1" ht="20.149999999999999" customHeight="1" x14ac:dyDescent="0.35">
      <c r="A150" s="1"/>
      <c r="B150" s="39"/>
      <c r="C150" s="13"/>
      <c r="D150" s="13"/>
      <c r="E150" s="1"/>
      <c r="F150" s="43"/>
      <c r="G150" s="13"/>
      <c r="H150" s="13"/>
      <c r="I150" s="8"/>
      <c r="J150" s="38"/>
      <c r="K150" s="112"/>
      <c r="L150" s="112"/>
      <c r="M150" s="133"/>
      <c r="N150" s="10"/>
      <c r="O150" s="13"/>
      <c r="P150" s="4"/>
      <c r="Q150" s="8"/>
      <c r="R150" s="155"/>
      <c r="S150" s="47"/>
      <c r="T150" s="1"/>
      <c r="U150" s="1"/>
      <c r="V150" s="5"/>
      <c r="W150" s="1"/>
      <c r="X150" s="1"/>
      <c r="Y150" s="1"/>
      <c r="Z150" s="1"/>
      <c r="AA150" s="1"/>
      <c r="AB150" s="1"/>
    </row>
    <row r="151" spans="1:28" s="2" customFormat="1" ht="20.149999999999999" customHeight="1" x14ac:dyDescent="0.35">
      <c r="A151" s="1"/>
      <c r="B151" s="39"/>
      <c r="C151" s="13"/>
      <c r="D151" s="13"/>
      <c r="E151" s="1"/>
      <c r="F151" s="43"/>
      <c r="G151" s="13"/>
      <c r="H151" s="13"/>
      <c r="I151" s="8"/>
      <c r="J151" s="38"/>
      <c r="K151" s="112"/>
      <c r="L151" s="112"/>
      <c r="M151" s="133"/>
      <c r="N151" s="10"/>
      <c r="O151" s="13"/>
      <c r="P151" s="4"/>
      <c r="Q151" s="8"/>
      <c r="R151" s="155"/>
      <c r="S151" s="47"/>
      <c r="T151" s="1"/>
      <c r="U151" s="1"/>
      <c r="V151" s="5"/>
      <c r="W151" s="1"/>
      <c r="X151" s="1"/>
      <c r="Y151" s="1"/>
      <c r="Z151" s="1"/>
      <c r="AA151" s="1"/>
      <c r="AB151" s="1"/>
    </row>
    <row r="152" spans="1:28" s="2" customFormat="1" ht="20.149999999999999" customHeight="1" x14ac:dyDescent="0.35">
      <c r="A152" s="1"/>
      <c r="B152" s="39"/>
      <c r="C152" s="13"/>
      <c r="D152" s="13"/>
      <c r="E152" s="1"/>
      <c r="F152" s="43"/>
      <c r="G152" s="13"/>
      <c r="H152" s="13"/>
      <c r="I152" s="8"/>
      <c r="J152" s="38"/>
      <c r="K152" s="112"/>
      <c r="L152" s="112"/>
      <c r="M152" s="133"/>
      <c r="N152" s="10"/>
      <c r="O152" s="13"/>
      <c r="P152" s="4"/>
      <c r="Q152" s="8"/>
      <c r="R152" s="155"/>
      <c r="S152" s="47"/>
      <c r="T152" s="1"/>
      <c r="U152" s="1"/>
      <c r="V152" s="5"/>
      <c r="W152" s="1"/>
      <c r="X152" s="1"/>
      <c r="Y152" s="1"/>
      <c r="Z152" s="1"/>
      <c r="AA152" s="1"/>
      <c r="AB152" s="1"/>
    </row>
    <row r="153" spans="1:28" s="2" customFormat="1" ht="20.149999999999999" customHeight="1" x14ac:dyDescent="0.35">
      <c r="A153" s="1"/>
      <c r="B153" s="39"/>
      <c r="C153" s="13"/>
      <c r="D153" s="13"/>
      <c r="E153" s="1"/>
      <c r="F153" s="43"/>
      <c r="G153" s="13"/>
      <c r="H153" s="13"/>
      <c r="I153" s="8"/>
      <c r="J153" s="38"/>
      <c r="K153" s="112"/>
      <c r="L153" s="112"/>
      <c r="M153" s="133"/>
      <c r="N153" s="10"/>
      <c r="O153" s="13"/>
      <c r="P153" s="4"/>
      <c r="Q153" s="8"/>
      <c r="R153" s="155"/>
      <c r="S153" s="47"/>
      <c r="T153" s="1"/>
      <c r="U153" s="1"/>
      <c r="V153" s="5"/>
      <c r="W153" s="1"/>
      <c r="X153" s="1"/>
      <c r="Y153" s="1"/>
      <c r="Z153" s="1"/>
      <c r="AA153" s="1"/>
      <c r="AB153" s="1"/>
    </row>
    <row r="154" spans="1:28" s="2" customFormat="1" ht="20.149999999999999" customHeight="1" x14ac:dyDescent="0.35">
      <c r="A154" s="1"/>
      <c r="B154" s="39"/>
      <c r="C154" s="13"/>
      <c r="D154" s="13"/>
      <c r="E154" s="1"/>
      <c r="F154" s="43"/>
      <c r="G154" s="13"/>
      <c r="H154" s="13"/>
      <c r="I154" s="8"/>
      <c r="J154" s="38"/>
      <c r="K154" s="112"/>
      <c r="L154" s="112"/>
      <c r="M154" s="133"/>
      <c r="N154" s="10"/>
      <c r="O154" s="13"/>
      <c r="P154" s="4"/>
      <c r="Q154" s="8"/>
      <c r="R154" s="155"/>
      <c r="S154" s="47"/>
      <c r="T154" s="1"/>
      <c r="U154" s="1"/>
      <c r="V154" s="5"/>
      <c r="W154" s="1"/>
      <c r="X154" s="1"/>
      <c r="Y154" s="1"/>
      <c r="Z154" s="1"/>
      <c r="AA154" s="1"/>
      <c r="AB154" s="1"/>
    </row>
    <row r="155" spans="1:28" s="2" customFormat="1" ht="20.149999999999999" customHeight="1" x14ac:dyDescent="0.35">
      <c r="A155" s="1"/>
      <c r="B155" s="39"/>
      <c r="C155" s="13"/>
      <c r="D155" s="13"/>
      <c r="E155" s="36"/>
      <c r="F155" s="43"/>
      <c r="G155" s="13"/>
      <c r="H155" s="13"/>
      <c r="I155" s="8"/>
      <c r="J155" s="38"/>
      <c r="K155" s="112"/>
      <c r="L155" s="112"/>
      <c r="M155" s="133"/>
      <c r="N155" s="10"/>
      <c r="O155" s="13"/>
      <c r="P155" s="4"/>
      <c r="Q155" s="8"/>
      <c r="R155" s="155"/>
      <c r="S155" s="47"/>
      <c r="T155" s="1"/>
      <c r="U155" s="1"/>
      <c r="V155" s="5"/>
      <c r="W155" s="1"/>
      <c r="X155" s="1"/>
      <c r="Y155" s="1"/>
      <c r="Z155" s="1"/>
      <c r="AA155" s="1"/>
      <c r="AB155" s="1"/>
    </row>
    <row r="156" spans="1:28" s="2" customFormat="1" ht="20.149999999999999" customHeight="1" x14ac:dyDescent="0.35">
      <c r="A156" s="1"/>
      <c r="B156" s="39"/>
      <c r="C156" s="13"/>
      <c r="D156" s="13"/>
      <c r="E156" s="36"/>
      <c r="F156" s="43"/>
      <c r="G156" s="13"/>
      <c r="H156" s="13"/>
      <c r="I156" s="8"/>
      <c r="J156" s="38"/>
      <c r="K156" s="112"/>
      <c r="L156" s="112"/>
      <c r="M156" s="133"/>
      <c r="N156" s="10"/>
      <c r="O156" s="13"/>
      <c r="P156" s="4"/>
      <c r="Q156" s="8"/>
      <c r="R156" s="155"/>
      <c r="S156" s="47"/>
      <c r="T156" s="1"/>
      <c r="U156" s="1"/>
      <c r="V156" s="5"/>
      <c r="W156" s="1"/>
      <c r="X156" s="1"/>
      <c r="Y156" s="1"/>
      <c r="Z156" s="1"/>
      <c r="AA156" s="1"/>
      <c r="AB156" s="1"/>
    </row>
    <row r="157" spans="1:28" s="2" customFormat="1" ht="20.149999999999999" customHeight="1" x14ac:dyDescent="0.35">
      <c r="A157" s="1"/>
      <c r="B157" s="39"/>
      <c r="C157" s="13"/>
      <c r="D157" s="13"/>
      <c r="E157" s="36"/>
      <c r="F157" s="43"/>
      <c r="G157" s="13"/>
      <c r="H157" s="13"/>
      <c r="I157" s="8"/>
      <c r="J157" s="38"/>
      <c r="K157" s="112"/>
      <c r="L157" s="112"/>
      <c r="M157" s="133"/>
      <c r="N157" s="10"/>
      <c r="O157" s="13"/>
      <c r="P157" s="4"/>
      <c r="Q157" s="8"/>
      <c r="R157" s="155"/>
      <c r="S157" s="47"/>
      <c r="T157" s="1"/>
      <c r="U157" s="1"/>
      <c r="V157" s="5"/>
      <c r="W157" s="1"/>
      <c r="X157" s="1"/>
      <c r="Y157" s="1"/>
      <c r="Z157" s="1"/>
      <c r="AA157" s="1"/>
      <c r="AB157" s="1"/>
    </row>
    <row r="158" spans="1:28" s="2" customFormat="1" ht="20.149999999999999" customHeight="1" x14ac:dyDescent="0.35">
      <c r="A158" s="1"/>
      <c r="B158" s="39"/>
      <c r="C158" s="13"/>
      <c r="D158" s="13"/>
      <c r="E158" s="36"/>
      <c r="F158" s="43"/>
      <c r="G158" s="13"/>
      <c r="H158" s="13"/>
      <c r="I158" s="8"/>
      <c r="J158" s="38"/>
      <c r="K158" s="112"/>
      <c r="L158" s="112"/>
      <c r="M158" s="133"/>
      <c r="N158" s="10"/>
      <c r="O158" s="13"/>
      <c r="P158" s="4"/>
      <c r="Q158" s="8"/>
      <c r="R158" s="155"/>
      <c r="S158" s="47"/>
      <c r="T158" s="1"/>
      <c r="U158" s="1"/>
      <c r="V158" s="5"/>
      <c r="W158" s="1"/>
      <c r="X158" s="1"/>
      <c r="Y158" s="1"/>
      <c r="Z158" s="1"/>
      <c r="AA158" s="1"/>
      <c r="AB158" s="1"/>
    </row>
    <row r="159" spans="1:28" s="2" customFormat="1" ht="20.149999999999999" customHeight="1" x14ac:dyDescent="0.35">
      <c r="A159" s="1"/>
      <c r="B159" s="39"/>
      <c r="C159" s="13"/>
      <c r="D159" s="13"/>
      <c r="E159" s="36"/>
      <c r="F159" s="43"/>
      <c r="G159" s="13"/>
      <c r="H159" s="13"/>
      <c r="I159" s="8"/>
      <c r="J159" s="38"/>
      <c r="K159" s="112"/>
      <c r="L159" s="112"/>
      <c r="M159" s="133"/>
      <c r="N159" s="10"/>
      <c r="O159" s="13"/>
      <c r="P159" s="4"/>
      <c r="Q159" s="8"/>
      <c r="R159" s="155"/>
      <c r="S159" s="47"/>
      <c r="T159" s="1"/>
      <c r="U159" s="1"/>
      <c r="V159" s="5"/>
      <c r="W159" s="1"/>
      <c r="X159" s="1"/>
      <c r="Y159" s="1"/>
      <c r="Z159" s="1"/>
      <c r="AA159" s="1"/>
      <c r="AB159" s="1"/>
    </row>
    <row r="160" spans="1:28" s="2" customFormat="1" ht="20.149999999999999" customHeight="1" x14ac:dyDescent="0.35">
      <c r="A160" s="1"/>
      <c r="B160" s="39"/>
      <c r="C160" s="13"/>
      <c r="D160" s="13"/>
      <c r="E160" s="36"/>
      <c r="F160" s="43"/>
      <c r="G160" s="13"/>
      <c r="H160" s="13"/>
      <c r="I160" s="8"/>
      <c r="J160" s="38"/>
      <c r="K160" s="112"/>
      <c r="L160" s="112"/>
      <c r="M160" s="133"/>
      <c r="N160" s="10"/>
      <c r="O160" s="13"/>
      <c r="P160" s="4"/>
      <c r="Q160" s="8"/>
      <c r="R160" s="155"/>
      <c r="S160" s="47"/>
      <c r="T160" s="1"/>
      <c r="U160" s="1"/>
      <c r="V160" s="5"/>
      <c r="W160" s="1"/>
      <c r="X160" s="1"/>
      <c r="Y160" s="1"/>
      <c r="Z160" s="1"/>
      <c r="AA160" s="1"/>
      <c r="AB160" s="1"/>
    </row>
    <row r="161" spans="1:28" s="2" customFormat="1" ht="20.149999999999999" customHeight="1" x14ac:dyDescent="0.35">
      <c r="A161" s="1"/>
      <c r="B161" s="39"/>
      <c r="C161" s="13"/>
      <c r="D161" s="13"/>
      <c r="E161" s="36"/>
      <c r="F161" s="43"/>
      <c r="G161" s="13"/>
      <c r="H161" s="13"/>
      <c r="I161" s="8"/>
      <c r="J161" s="38"/>
      <c r="K161" s="112"/>
      <c r="L161" s="112"/>
      <c r="M161" s="133"/>
      <c r="N161" s="10"/>
      <c r="O161" s="13"/>
      <c r="P161" s="4"/>
      <c r="Q161" s="8"/>
      <c r="R161" s="155"/>
      <c r="S161" s="47"/>
      <c r="T161" s="1"/>
      <c r="U161" s="1"/>
      <c r="V161" s="5"/>
      <c r="W161" s="1"/>
      <c r="X161" s="1"/>
      <c r="Y161" s="1"/>
      <c r="Z161" s="1"/>
      <c r="AA161" s="1"/>
      <c r="AB161" s="1"/>
    </row>
    <row r="162" spans="1:28" s="2" customFormat="1" ht="20.149999999999999" customHeight="1" x14ac:dyDescent="0.35">
      <c r="A162" s="1"/>
      <c r="B162" s="39"/>
      <c r="C162" s="13"/>
      <c r="D162" s="13"/>
      <c r="E162" s="36"/>
      <c r="F162" s="43"/>
      <c r="G162" s="13"/>
      <c r="H162" s="13"/>
      <c r="I162" s="8"/>
      <c r="J162" s="38"/>
      <c r="K162" s="112"/>
      <c r="L162" s="112"/>
      <c r="M162" s="133"/>
      <c r="N162" s="10"/>
      <c r="O162" s="13"/>
      <c r="P162" s="4"/>
      <c r="Q162" s="8"/>
      <c r="R162" s="155"/>
      <c r="S162" s="47"/>
      <c r="T162" s="1"/>
      <c r="U162" s="1"/>
      <c r="V162" s="5"/>
      <c r="W162" s="1"/>
      <c r="X162" s="1"/>
      <c r="Y162" s="1"/>
      <c r="Z162" s="1"/>
      <c r="AA162" s="1"/>
      <c r="AB162" s="1"/>
    </row>
    <row r="163" spans="1:28" s="2" customFormat="1" ht="20.149999999999999" customHeight="1" x14ac:dyDescent="0.35">
      <c r="A163" s="1"/>
      <c r="B163" s="39"/>
      <c r="C163" s="13"/>
      <c r="D163" s="13"/>
      <c r="E163" s="36"/>
      <c r="F163" s="43"/>
      <c r="G163" s="13"/>
      <c r="H163" s="13"/>
      <c r="I163" s="8"/>
      <c r="J163" s="38"/>
      <c r="K163" s="112"/>
      <c r="L163" s="112"/>
      <c r="M163" s="133"/>
      <c r="N163" s="10"/>
      <c r="O163" s="13"/>
      <c r="P163" s="4"/>
      <c r="Q163" s="8"/>
      <c r="R163" s="155"/>
      <c r="S163" s="47"/>
      <c r="T163" s="1"/>
      <c r="U163" s="1"/>
      <c r="V163" s="5"/>
      <c r="W163" s="1"/>
      <c r="X163" s="1"/>
      <c r="Y163" s="1"/>
      <c r="Z163" s="1"/>
      <c r="AA163" s="1"/>
      <c r="AB163" s="1"/>
    </row>
    <row r="164" spans="1:28" s="2" customFormat="1" ht="20.149999999999999" customHeight="1" x14ac:dyDescent="0.35">
      <c r="A164" s="1"/>
      <c r="B164" s="39"/>
      <c r="C164" s="13"/>
      <c r="D164" s="13"/>
      <c r="E164" s="36"/>
      <c r="F164" s="43"/>
      <c r="G164" s="13"/>
      <c r="H164" s="13"/>
      <c r="I164" s="8"/>
      <c r="J164" s="38"/>
      <c r="K164" s="112"/>
      <c r="L164" s="112"/>
      <c r="M164" s="133"/>
      <c r="N164" s="10"/>
      <c r="O164" s="13"/>
      <c r="P164" s="4"/>
      <c r="Q164" s="8"/>
      <c r="R164" s="155"/>
      <c r="S164" s="47"/>
      <c r="T164" s="1"/>
      <c r="U164" s="1"/>
      <c r="V164" s="5"/>
      <c r="W164" s="1"/>
      <c r="X164" s="1"/>
      <c r="Y164" s="1"/>
      <c r="Z164" s="1"/>
      <c r="AA164" s="1"/>
      <c r="AB164" s="1"/>
    </row>
    <row r="165" spans="1:28" s="2" customFormat="1" ht="20.149999999999999" customHeight="1" x14ac:dyDescent="0.35">
      <c r="A165" s="1"/>
      <c r="B165" s="39"/>
      <c r="C165" s="13"/>
      <c r="D165" s="13"/>
      <c r="E165" s="36"/>
      <c r="F165" s="43"/>
      <c r="G165" s="13"/>
      <c r="H165" s="13"/>
      <c r="I165" s="8"/>
      <c r="J165" s="38"/>
      <c r="K165" s="112"/>
      <c r="L165" s="112"/>
      <c r="M165" s="133"/>
      <c r="N165" s="10"/>
      <c r="O165" s="13"/>
      <c r="P165" s="4"/>
      <c r="Q165" s="8"/>
      <c r="R165" s="155"/>
      <c r="S165" s="47"/>
      <c r="T165" s="1"/>
      <c r="U165" s="1"/>
      <c r="V165" s="5"/>
      <c r="W165" s="1"/>
      <c r="X165" s="1"/>
      <c r="Y165" s="1"/>
      <c r="Z165" s="1"/>
      <c r="AA165" s="1"/>
      <c r="AB165" s="1"/>
    </row>
    <row r="166" spans="1:28" s="2" customFormat="1" ht="20.149999999999999" customHeight="1" x14ac:dyDescent="0.35">
      <c r="A166" s="1"/>
      <c r="B166" s="39"/>
      <c r="C166" s="13"/>
      <c r="D166" s="13"/>
      <c r="E166" s="36"/>
      <c r="F166" s="43"/>
      <c r="G166" s="13"/>
      <c r="H166" s="13"/>
      <c r="I166" s="8"/>
      <c r="J166" s="38"/>
      <c r="K166" s="112"/>
      <c r="L166" s="112"/>
      <c r="M166" s="133"/>
      <c r="N166" s="10"/>
      <c r="O166" s="13"/>
      <c r="P166" s="4"/>
      <c r="Q166" s="8"/>
      <c r="R166" s="155"/>
      <c r="S166" s="47"/>
      <c r="T166" s="1"/>
      <c r="U166" s="1"/>
      <c r="V166" s="5"/>
      <c r="W166" s="1"/>
      <c r="X166" s="1"/>
      <c r="Y166" s="1"/>
      <c r="Z166" s="1"/>
      <c r="AA166" s="1"/>
      <c r="AB166" s="1"/>
    </row>
    <row r="167" spans="1:28" s="2" customFormat="1" ht="20.149999999999999" customHeight="1" x14ac:dyDescent="0.35">
      <c r="A167" s="1"/>
      <c r="B167" s="39"/>
      <c r="C167" s="13"/>
      <c r="D167" s="13"/>
      <c r="E167" s="1"/>
      <c r="F167" s="43"/>
      <c r="G167" s="13"/>
      <c r="H167" s="13"/>
      <c r="I167" s="8"/>
      <c r="J167" s="38"/>
      <c r="K167" s="112"/>
      <c r="L167" s="112"/>
      <c r="M167" s="133"/>
      <c r="N167" s="10"/>
      <c r="O167" s="13"/>
      <c r="P167" s="4"/>
      <c r="Q167" s="8"/>
      <c r="R167" s="155"/>
      <c r="S167" s="47"/>
      <c r="T167" s="1"/>
      <c r="U167" s="1"/>
      <c r="V167" s="5"/>
      <c r="W167" s="1"/>
      <c r="X167" s="1"/>
      <c r="Y167" s="1"/>
      <c r="Z167" s="1"/>
      <c r="AA167" s="1"/>
      <c r="AB167" s="1"/>
    </row>
    <row r="168" spans="1:28" s="2" customFormat="1" ht="20.149999999999999" customHeight="1" x14ac:dyDescent="0.35">
      <c r="A168" s="1"/>
      <c r="B168" s="39"/>
      <c r="C168" s="13"/>
      <c r="D168" s="13"/>
      <c r="E168" s="1"/>
      <c r="F168" s="43"/>
      <c r="G168" s="13"/>
      <c r="H168" s="13"/>
      <c r="I168" s="8"/>
      <c r="J168" s="38"/>
      <c r="K168" s="112"/>
      <c r="L168" s="112"/>
      <c r="M168" s="133"/>
      <c r="N168" s="10"/>
      <c r="O168" s="13"/>
      <c r="P168" s="4"/>
      <c r="Q168" s="8"/>
      <c r="R168" s="155"/>
      <c r="S168" s="47"/>
      <c r="T168" s="1"/>
      <c r="U168" s="1"/>
      <c r="V168" s="5"/>
      <c r="W168" s="1"/>
      <c r="X168" s="1"/>
      <c r="Y168" s="1"/>
      <c r="Z168" s="1"/>
      <c r="AA168" s="1"/>
      <c r="AB168" s="1"/>
    </row>
    <row r="169" spans="1:28" s="2" customFormat="1" ht="20.149999999999999" customHeight="1" x14ac:dyDescent="0.35">
      <c r="A169" s="1"/>
      <c r="B169" s="39"/>
      <c r="C169" s="13"/>
      <c r="D169" s="13"/>
      <c r="E169" s="36"/>
      <c r="F169" s="43"/>
      <c r="G169" s="13"/>
      <c r="H169" s="13"/>
      <c r="I169" s="8"/>
      <c r="J169" s="38"/>
      <c r="K169" s="112"/>
      <c r="L169" s="112"/>
      <c r="M169" s="133"/>
      <c r="N169" s="10"/>
      <c r="O169" s="13"/>
      <c r="P169" s="4"/>
      <c r="Q169" s="8"/>
      <c r="R169" s="155"/>
      <c r="S169" s="47"/>
      <c r="T169" s="1"/>
      <c r="U169" s="1"/>
      <c r="V169" s="5"/>
      <c r="W169" s="1"/>
      <c r="X169" s="1"/>
      <c r="Y169" s="1"/>
      <c r="Z169" s="1"/>
      <c r="AA169" s="1"/>
      <c r="AB169" s="1"/>
    </row>
    <row r="170" spans="1:28" s="2" customFormat="1" ht="20.149999999999999" customHeight="1" x14ac:dyDescent="0.35">
      <c r="A170" s="1"/>
      <c r="B170" s="39"/>
      <c r="C170" s="13"/>
      <c r="D170" s="13"/>
      <c r="E170" s="36"/>
      <c r="F170" s="43"/>
      <c r="G170" s="13"/>
      <c r="H170" s="13"/>
      <c r="I170" s="8"/>
      <c r="J170" s="38"/>
      <c r="K170" s="112"/>
      <c r="L170" s="112"/>
      <c r="M170" s="133"/>
      <c r="N170" s="10"/>
      <c r="O170" s="13"/>
      <c r="P170" s="4"/>
      <c r="Q170" s="8"/>
      <c r="R170" s="155"/>
      <c r="S170" s="47"/>
      <c r="T170" s="1"/>
      <c r="U170" s="1"/>
      <c r="V170" s="5"/>
      <c r="W170" s="1"/>
      <c r="X170" s="1"/>
      <c r="Y170" s="1"/>
      <c r="Z170" s="1"/>
      <c r="AA170" s="1"/>
      <c r="AB170" s="1"/>
    </row>
    <row r="171" spans="1:28" s="2" customFormat="1" ht="20.149999999999999" customHeight="1" x14ac:dyDescent="0.35">
      <c r="A171" s="1"/>
      <c r="B171" s="39"/>
      <c r="C171" s="13"/>
      <c r="D171" s="13"/>
      <c r="E171" s="4"/>
      <c r="F171" s="43"/>
      <c r="G171" s="13"/>
      <c r="H171" s="13"/>
      <c r="I171" s="8"/>
      <c r="J171" s="38"/>
      <c r="K171" s="112"/>
      <c r="L171" s="112"/>
      <c r="M171" s="133"/>
      <c r="N171" s="10"/>
      <c r="O171" s="13"/>
      <c r="P171" s="4"/>
      <c r="Q171" s="8"/>
      <c r="R171" s="155"/>
      <c r="S171" s="47"/>
      <c r="T171" s="1"/>
      <c r="U171" s="1"/>
      <c r="V171" s="5"/>
      <c r="W171" s="1"/>
      <c r="X171" s="1"/>
      <c r="Y171" s="1"/>
      <c r="Z171" s="1"/>
      <c r="AA171" s="1"/>
      <c r="AB171" s="1"/>
    </row>
    <row r="172" spans="1:28" s="2" customFormat="1" ht="20.149999999999999" customHeight="1" x14ac:dyDescent="0.35">
      <c r="A172" s="1"/>
      <c r="B172" s="39"/>
      <c r="C172" s="13"/>
      <c r="D172" s="13"/>
      <c r="E172" s="4"/>
      <c r="F172" s="43"/>
      <c r="G172" s="13"/>
      <c r="H172" s="13"/>
      <c r="I172" s="8"/>
      <c r="J172" s="38"/>
      <c r="K172" s="112"/>
      <c r="L172" s="112"/>
      <c r="M172" s="133"/>
      <c r="N172" s="10"/>
      <c r="O172" s="13"/>
      <c r="P172" s="4"/>
      <c r="Q172" s="8"/>
      <c r="R172" s="155"/>
      <c r="S172" s="47"/>
      <c r="T172" s="1"/>
      <c r="U172" s="1"/>
      <c r="V172" s="5"/>
      <c r="W172" s="1"/>
      <c r="X172" s="1"/>
      <c r="Y172" s="1"/>
      <c r="Z172" s="1"/>
      <c r="AA172" s="1"/>
      <c r="AB172" s="1"/>
    </row>
    <row r="173" spans="1:28" s="2" customFormat="1" ht="20.149999999999999" customHeight="1" x14ac:dyDescent="0.35">
      <c r="A173" s="1"/>
      <c r="B173" s="39"/>
      <c r="C173" s="13"/>
      <c r="D173" s="13"/>
      <c r="E173" s="4"/>
      <c r="F173" s="43"/>
      <c r="G173" s="13"/>
      <c r="H173" s="13"/>
      <c r="I173" s="8"/>
      <c r="J173" s="38"/>
      <c r="K173" s="112"/>
      <c r="L173" s="112"/>
      <c r="M173" s="133"/>
      <c r="N173" s="10"/>
      <c r="O173" s="13"/>
      <c r="P173" s="4"/>
      <c r="Q173" s="8"/>
      <c r="R173" s="155"/>
      <c r="S173" s="47"/>
      <c r="T173" s="1"/>
      <c r="U173" s="1"/>
      <c r="V173" s="5"/>
      <c r="W173" s="1"/>
      <c r="X173" s="1"/>
      <c r="Y173" s="1"/>
      <c r="Z173" s="1"/>
      <c r="AA173" s="1"/>
      <c r="AB173" s="1"/>
    </row>
    <row r="174" spans="1:28" s="2" customFormat="1" ht="20.149999999999999" customHeight="1" x14ac:dyDescent="0.35">
      <c r="A174" s="1"/>
      <c r="B174" s="39"/>
      <c r="C174" s="13"/>
      <c r="D174" s="13"/>
      <c r="E174" s="4"/>
      <c r="F174" s="43"/>
      <c r="G174" s="13"/>
      <c r="H174" s="13"/>
      <c r="I174" s="8"/>
      <c r="J174" s="38"/>
      <c r="K174" s="112"/>
      <c r="L174" s="112"/>
      <c r="M174" s="133"/>
      <c r="N174" s="10"/>
      <c r="O174" s="13"/>
      <c r="P174" s="4"/>
      <c r="Q174" s="8"/>
      <c r="R174" s="155"/>
      <c r="S174" s="47"/>
      <c r="T174" s="1"/>
      <c r="U174" s="1"/>
      <c r="V174" s="5"/>
      <c r="W174" s="1"/>
      <c r="X174" s="1"/>
      <c r="Y174" s="1"/>
      <c r="Z174" s="1"/>
      <c r="AA174" s="1"/>
      <c r="AB174" s="1"/>
    </row>
    <row r="175" spans="1:28" s="2" customFormat="1" ht="20.149999999999999" customHeight="1" x14ac:dyDescent="0.35">
      <c r="A175" s="1"/>
      <c r="B175" s="39"/>
      <c r="C175" s="13"/>
      <c r="D175" s="13"/>
      <c r="E175" s="4"/>
      <c r="F175" s="43"/>
      <c r="G175" s="13"/>
      <c r="H175" s="13"/>
      <c r="I175" s="8"/>
      <c r="J175" s="38"/>
      <c r="K175" s="112"/>
      <c r="L175" s="112"/>
      <c r="M175" s="133"/>
      <c r="N175" s="10"/>
      <c r="O175" s="13"/>
      <c r="P175" s="4"/>
      <c r="Q175" s="8"/>
      <c r="R175" s="155"/>
      <c r="S175" s="47"/>
      <c r="T175" s="1"/>
      <c r="U175" s="1"/>
      <c r="V175" s="5"/>
      <c r="W175" s="1"/>
      <c r="X175" s="1"/>
      <c r="Y175" s="1"/>
      <c r="Z175" s="1"/>
      <c r="AA175" s="1"/>
      <c r="AB175" s="1"/>
    </row>
    <row r="176" spans="1:28" s="2" customFormat="1" ht="20.149999999999999" customHeight="1" x14ac:dyDescent="0.35">
      <c r="A176" s="1"/>
      <c r="B176" s="39"/>
      <c r="C176" s="13"/>
      <c r="D176" s="13"/>
      <c r="E176" s="4"/>
      <c r="F176" s="43"/>
      <c r="G176" s="13"/>
      <c r="H176" s="13"/>
      <c r="I176" s="8"/>
      <c r="J176" s="38"/>
      <c r="K176" s="112"/>
      <c r="L176" s="112"/>
      <c r="M176" s="133"/>
      <c r="N176" s="10"/>
      <c r="O176" s="13"/>
      <c r="P176" s="4"/>
      <c r="Q176" s="8"/>
      <c r="R176" s="155"/>
      <c r="S176" s="47"/>
      <c r="T176" s="1"/>
      <c r="U176" s="1"/>
      <c r="V176" s="5"/>
      <c r="W176" s="1"/>
      <c r="X176" s="1"/>
      <c r="Y176" s="1"/>
      <c r="Z176" s="1"/>
      <c r="AA176" s="1"/>
      <c r="AB176" s="1"/>
    </row>
    <row r="177" spans="1:28" s="2" customFormat="1" ht="20.149999999999999" customHeight="1" x14ac:dyDescent="0.35">
      <c r="A177" s="1"/>
      <c r="B177" s="39"/>
      <c r="C177" s="13"/>
      <c r="D177" s="13"/>
      <c r="E177" s="4"/>
      <c r="F177" s="43"/>
      <c r="G177" s="13"/>
      <c r="H177" s="13"/>
      <c r="I177" s="8"/>
      <c r="J177" s="38"/>
      <c r="K177" s="112"/>
      <c r="L177" s="112"/>
      <c r="M177" s="133"/>
      <c r="N177" s="10"/>
      <c r="O177" s="13"/>
      <c r="P177" s="4"/>
      <c r="Q177" s="8"/>
      <c r="R177" s="155"/>
      <c r="S177" s="47"/>
      <c r="T177" s="1"/>
      <c r="U177" s="1"/>
      <c r="V177" s="5"/>
      <c r="W177" s="1"/>
      <c r="X177" s="1"/>
      <c r="Y177" s="1"/>
      <c r="Z177" s="1"/>
      <c r="AA177" s="1"/>
      <c r="AB177" s="1"/>
    </row>
    <row r="178" spans="1:28" s="2" customFormat="1" ht="20.149999999999999" customHeight="1" x14ac:dyDescent="0.35">
      <c r="A178" s="1"/>
      <c r="B178" s="39"/>
      <c r="C178" s="13"/>
      <c r="D178" s="13"/>
      <c r="E178" s="4"/>
      <c r="F178" s="43"/>
      <c r="G178" s="13"/>
      <c r="H178" s="13"/>
      <c r="I178" s="8"/>
      <c r="J178" s="38"/>
      <c r="K178" s="112"/>
      <c r="L178" s="112"/>
      <c r="M178" s="133"/>
      <c r="N178" s="10"/>
      <c r="O178" s="13"/>
      <c r="P178" s="4"/>
      <c r="Q178" s="8"/>
      <c r="R178" s="155"/>
      <c r="S178" s="47"/>
      <c r="T178" s="1"/>
      <c r="U178" s="1"/>
      <c r="V178" s="5"/>
      <c r="W178" s="1"/>
      <c r="X178" s="1"/>
      <c r="Y178" s="1"/>
      <c r="Z178" s="1"/>
      <c r="AA178" s="1"/>
      <c r="AB178" s="1"/>
    </row>
    <row r="179" spans="1:28" s="2" customFormat="1" ht="20.149999999999999" customHeight="1" x14ac:dyDescent="0.35">
      <c r="A179" s="1"/>
      <c r="B179" s="39"/>
      <c r="C179" s="13"/>
      <c r="D179" s="13"/>
      <c r="E179" s="4"/>
      <c r="F179" s="43"/>
      <c r="G179" s="13"/>
      <c r="H179" s="13"/>
      <c r="I179" s="8"/>
      <c r="J179" s="38"/>
      <c r="K179" s="112"/>
      <c r="L179" s="112"/>
      <c r="M179" s="133"/>
      <c r="N179" s="10"/>
      <c r="O179" s="13"/>
      <c r="P179" s="4"/>
      <c r="Q179" s="8"/>
      <c r="R179" s="155"/>
      <c r="S179" s="47"/>
      <c r="T179" s="1"/>
      <c r="U179" s="1"/>
      <c r="V179" s="5"/>
      <c r="W179" s="1"/>
      <c r="X179" s="1"/>
      <c r="Y179" s="1"/>
      <c r="Z179" s="1"/>
      <c r="AA179" s="1"/>
      <c r="AB179" s="1"/>
    </row>
    <row r="180" spans="1:28" s="2" customFormat="1" ht="20.149999999999999" customHeight="1" x14ac:dyDescent="0.35">
      <c r="A180" s="1"/>
      <c r="B180" s="39"/>
      <c r="C180" s="13"/>
      <c r="D180" s="13"/>
      <c r="E180" s="4"/>
      <c r="F180" s="43"/>
      <c r="G180" s="13"/>
      <c r="H180" s="13"/>
      <c r="I180" s="8"/>
      <c r="J180" s="38"/>
      <c r="K180" s="112"/>
      <c r="L180" s="112"/>
      <c r="M180" s="133"/>
      <c r="N180" s="10"/>
      <c r="O180" s="13"/>
      <c r="P180" s="4"/>
      <c r="Q180" s="8"/>
      <c r="R180" s="155"/>
      <c r="S180" s="47"/>
      <c r="T180" s="1"/>
      <c r="U180" s="1"/>
      <c r="V180" s="5"/>
      <c r="W180" s="1"/>
      <c r="X180" s="1"/>
      <c r="Y180" s="1"/>
      <c r="Z180" s="1"/>
      <c r="AA180" s="1"/>
      <c r="AB180" s="1"/>
    </row>
    <row r="181" spans="1:28" s="2" customFormat="1" ht="20.149999999999999" customHeight="1" x14ac:dyDescent="0.35">
      <c r="A181" s="1"/>
      <c r="B181" s="39"/>
      <c r="C181" s="13"/>
      <c r="D181" s="13"/>
      <c r="E181" s="4"/>
      <c r="F181" s="43"/>
      <c r="G181" s="13"/>
      <c r="H181" s="13"/>
      <c r="I181" s="8"/>
      <c r="J181" s="38"/>
      <c r="K181" s="112"/>
      <c r="L181" s="112"/>
      <c r="M181" s="133"/>
      <c r="N181" s="10"/>
      <c r="O181" s="13"/>
      <c r="P181" s="4"/>
      <c r="Q181" s="8"/>
      <c r="R181" s="155"/>
      <c r="S181" s="47"/>
      <c r="T181" s="1"/>
      <c r="U181" s="1"/>
      <c r="V181" s="5"/>
      <c r="W181" s="1"/>
      <c r="X181" s="1"/>
      <c r="Y181" s="1"/>
      <c r="Z181" s="1"/>
      <c r="AA181" s="1"/>
      <c r="AB181" s="1"/>
    </row>
    <row r="182" spans="1:28" s="2" customFormat="1" ht="20.149999999999999" customHeight="1" x14ac:dyDescent="0.35">
      <c r="A182" s="1"/>
      <c r="B182" s="39"/>
      <c r="C182" s="13"/>
      <c r="D182" s="13"/>
      <c r="E182" s="4"/>
      <c r="F182" s="43"/>
      <c r="G182" s="13"/>
      <c r="H182" s="13"/>
      <c r="I182" s="8"/>
      <c r="J182" s="38"/>
      <c r="K182" s="112"/>
      <c r="L182" s="112"/>
      <c r="M182" s="133"/>
      <c r="N182" s="10"/>
      <c r="O182" s="13"/>
      <c r="P182" s="4"/>
      <c r="Q182" s="8"/>
      <c r="R182" s="155"/>
      <c r="S182" s="47"/>
      <c r="T182" s="1"/>
      <c r="U182" s="1"/>
      <c r="V182" s="5"/>
      <c r="W182" s="1"/>
      <c r="X182" s="1"/>
      <c r="Y182" s="1"/>
      <c r="Z182" s="1"/>
      <c r="AA182" s="1"/>
      <c r="AB182" s="1"/>
    </row>
    <row r="183" spans="1:28" s="2" customFormat="1" ht="20.149999999999999" customHeight="1" x14ac:dyDescent="0.35">
      <c r="A183" s="1"/>
      <c r="B183" s="39"/>
      <c r="C183" s="13"/>
      <c r="D183" s="13"/>
      <c r="E183" s="4"/>
      <c r="F183" s="43"/>
      <c r="G183" s="13"/>
      <c r="H183" s="13"/>
      <c r="I183" s="8"/>
      <c r="J183" s="38"/>
      <c r="K183" s="112"/>
      <c r="L183" s="112"/>
      <c r="M183" s="133"/>
      <c r="N183" s="10"/>
      <c r="O183" s="13"/>
      <c r="P183" s="4"/>
      <c r="Q183" s="8"/>
      <c r="R183" s="155"/>
      <c r="S183" s="47"/>
      <c r="T183" s="1"/>
      <c r="U183" s="1"/>
      <c r="V183" s="5"/>
      <c r="W183" s="1"/>
      <c r="X183" s="1"/>
      <c r="Y183" s="1"/>
      <c r="Z183" s="1"/>
      <c r="AA183" s="1"/>
      <c r="AB183" s="1"/>
    </row>
    <row r="184" spans="1:28" s="2" customFormat="1" ht="20.149999999999999" customHeight="1" x14ac:dyDescent="0.35">
      <c r="A184" s="1"/>
      <c r="B184" s="39"/>
      <c r="C184" s="13"/>
      <c r="D184" s="13"/>
      <c r="E184" s="4"/>
      <c r="F184" s="43"/>
      <c r="G184" s="13"/>
      <c r="H184" s="13"/>
      <c r="I184" s="8"/>
      <c r="J184" s="38"/>
      <c r="K184" s="112"/>
      <c r="L184" s="112"/>
      <c r="M184" s="133"/>
      <c r="N184" s="10"/>
      <c r="O184" s="13"/>
      <c r="P184" s="4"/>
      <c r="Q184" s="8"/>
      <c r="R184" s="155"/>
      <c r="S184" s="47"/>
      <c r="T184" s="1"/>
      <c r="U184" s="1"/>
      <c r="V184" s="5"/>
      <c r="W184" s="1"/>
      <c r="X184" s="1"/>
      <c r="Y184" s="1"/>
      <c r="Z184" s="1"/>
      <c r="AA184" s="1"/>
      <c r="AB184" s="1"/>
    </row>
    <row r="185" spans="1:28" s="2" customFormat="1" ht="20.149999999999999" customHeight="1" x14ac:dyDescent="0.35">
      <c r="A185" s="1"/>
      <c r="B185" s="39"/>
      <c r="C185" s="13"/>
      <c r="D185" s="13"/>
      <c r="E185" s="4"/>
      <c r="F185" s="43"/>
      <c r="G185" s="13"/>
      <c r="H185" s="13"/>
      <c r="I185" s="8"/>
      <c r="J185" s="38"/>
      <c r="K185" s="112"/>
      <c r="L185" s="112"/>
      <c r="M185" s="133"/>
      <c r="N185" s="10"/>
      <c r="O185" s="13"/>
      <c r="P185" s="4"/>
      <c r="Q185" s="8"/>
      <c r="R185" s="155"/>
      <c r="S185" s="47"/>
      <c r="T185" s="1"/>
      <c r="U185" s="1"/>
      <c r="V185" s="5"/>
      <c r="W185" s="1"/>
      <c r="X185" s="1"/>
      <c r="Y185" s="1"/>
      <c r="Z185" s="1"/>
      <c r="AA185" s="1"/>
      <c r="AB185" s="1"/>
    </row>
    <row r="186" spans="1:28" s="2" customFormat="1" ht="20.149999999999999" customHeight="1" x14ac:dyDescent="0.35">
      <c r="A186" s="1"/>
      <c r="B186" s="39"/>
      <c r="C186" s="13"/>
      <c r="D186" s="13"/>
      <c r="E186" s="4"/>
      <c r="F186" s="43"/>
      <c r="G186" s="13"/>
      <c r="H186" s="13"/>
      <c r="I186" s="8"/>
      <c r="J186" s="38"/>
      <c r="K186" s="112"/>
      <c r="L186" s="112"/>
      <c r="M186" s="133"/>
      <c r="N186" s="10"/>
      <c r="O186" s="13"/>
      <c r="P186" s="4"/>
      <c r="Q186" s="8"/>
      <c r="R186" s="155"/>
      <c r="S186" s="47"/>
      <c r="T186" s="6"/>
      <c r="U186" s="6"/>
      <c r="V186" s="12"/>
      <c r="W186" s="6"/>
      <c r="X186" s="1"/>
      <c r="Y186" s="1"/>
      <c r="Z186" s="1"/>
      <c r="AA186" s="1"/>
      <c r="AB186" s="1"/>
    </row>
    <row r="187" spans="1:28" s="2" customFormat="1" ht="20.149999999999999" customHeight="1" x14ac:dyDescent="0.35">
      <c r="A187" s="1"/>
      <c r="B187" s="39"/>
      <c r="C187" s="13"/>
      <c r="D187" s="13"/>
      <c r="E187" s="4"/>
      <c r="F187" s="43"/>
      <c r="G187" s="13"/>
      <c r="H187" s="13"/>
      <c r="I187" s="8"/>
      <c r="J187" s="38"/>
      <c r="K187" s="112"/>
      <c r="L187" s="112"/>
      <c r="M187" s="133"/>
      <c r="N187" s="10"/>
      <c r="O187" s="13"/>
      <c r="P187" s="4"/>
      <c r="Q187" s="8"/>
      <c r="R187" s="155"/>
      <c r="S187" s="47"/>
      <c r="T187" s="6"/>
      <c r="U187" s="6"/>
      <c r="V187" s="12"/>
      <c r="W187" s="6"/>
      <c r="X187" s="6"/>
      <c r="Y187" s="6"/>
      <c r="Z187" s="1"/>
      <c r="AA187" s="1"/>
      <c r="AB187" s="1"/>
    </row>
    <row r="188" spans="1:28" s="2" customFormat="1" ht="20.149999999999999" customHeight="1" x14ac:dyDescent="0.35">
      <c r="A188" s="1"/>
      <c r="B188" s="39"/>
      <c r="C188" s="13"/>
      <c r="D188" s="13"/>
      <c r="E188" s="4"/>
      <c r="F188" s="43"/>
      <c r="G188" s="13"/>
      <c r="H188" s="13"/>
      <c r="I188" s="8"/>
      <c r="J188" s="38"/>
      <c r="K188" s="112"/>
      <c r="L188" s="112"/>
      <c r="M188" s="133"/>
      <c r="N188" s="10"/>
      <c r="O188" s="13"/>
      <c r="P188" s="4"/>
      <c r="Q188" s="8"/>
      <c r="R188" s="155"/>
      <c r="S188" s="47"/>
      <c r="T188" s="1"/>
      <c r="U188" s="1"/>
      <c r="V188" s="5"/>
      <c r="W188" s="1"/>
      <c r="X188" s="6"/>
      <c r="Y188" s="6"/>
      <c r="Z188" s="1"/>
      <c r="AA188" s="1"/>
      <c r="AB188" s="1"/>
    </row>
    <row r="189" spans="1:28" s="2" customFormat="1" ht="20.149999999999999" customHeight="1" x14ac:dyDescent="0.35">
      <c r="A189" s="1"/>
      <c r="B189" s="39"/>
      <c r="C189" s="13"/>
      <c r="D189" s="13"/>
      <c r="E189" s="4"/>
      <c r="F189" s="43"/>
      <c r="G189" s="13"/>
      <c r="H189" s="13"/>
      <c r="I189" s="8"/>
      <c r="J189" s="38"/>
      <c r="K189" s="112"/>
      <c r="L189" s="112"/>
      <c r="M189" s="133"/>
      <c r="N189" s="10"/>
      <c r="O189" s="13"/>
      <c r="P189" s="4"/>
      <c r="Q189" s="8"/>
      <c r="R189" s="155"/>
      <c r="S189" s="47"/>
      <c r="T189" s="1"/>
      <c r="U189" s="1"/>
      <c r="V189" s="5"/>
      <c r="W189" s="1"/>
      <c r="X189" s="1"/>
      <c r="Y189" s="1"/>
      <c r="Z189" s="1"/>
      <c r="AA189" s="1"/>
      <c r="AB189" s="1"/>
    </row>
    <row r="190" spans="1:28" s="2" customFormat="1" ht="20.149999999999999" customHeight="1" x14ac:dyDescent="0.35">
      <c r="A190" s="1"/>
      <c r="B190" s="39"/>
      <c r="C190" s="13"/>
      <c r="D190" s="13"/>
      <c r="E190" s="4"/>
      <c r="F190" s="43"/>
      <c r="G190" s="13"/>
      <c r="H190" s="13"/>
      <c r="I190" s="8"/>
      <c r="J190" s="38"/>
      <c r="K190" s="112"/>
      <c r="L190" s="112"/>
      <c r="M190" s="133"/>
      <c r="N190" s="10"/>
      <c r="O190" s="13"/>
      <c r="P190" s="4"/>
      <c r="Q190" s="8"/>
      <c r="R190" s="155"/>
      <c r="S190" s="47"/>
      <c r="T190" s="1"/>
      <c r="U190" s="1"/>
      <c r="V190" s="5"/>
      <c r="W190" s="1"/>
      <c r="X190" s="1"/>
      <c r="Y190" s="1"/>
      <c r="Z190" s="1"/>
      <c r="AA190" s="1"/>
      <c r="AB190" s="1"/>
    </row>
    <row r="191" spans="1:28" s="2" customFormat="1" ht="20.149999999999999" customHeight="1" x14ac:dyDescent="0.35">
      <c r="A191" s="1"/>
      <c r="B191" s="39"/>
      <c r="C191" s="13"/>
      <c r="D191" s="13"/>
      <c r="E191" s="4"/>
      <c r="F191" s="43"/>
      <c r="G191" s="13"/>
      <c r="H191" s="13"/>
      <c r="I191" s="8"/>
      <c r="J191" s="38"/>
      <c r="K191" s="112"/>
      <c r="L191" s="112"/>
      <c r="M191" s="133"/>
      <c r="N191" s="10"/>
      <c r="O191" s="13"/>
      <c r="P191" s="4"/>
      <c r="Q191" s="8"/>
      <c r="R191" s="155"/>
      <c r="S191" s="47"/>
      <c r="T191" s="1"/>
      <c r="U191" s="1"/>
      <c r="V191" s="5"/>
      <c r="W191" s="1"/>
      <c r="X191" s="1"/>
      <c r="Y191" s="1"/>
      <c r="Z191" s="1"/>
      <c r="AA191" s="1"/>
      <c r="AB191" s="1"/>
    </row>
    <row r="192" spans="1:28" s="2" customFormat="1" ht="20.149999999999999" customHeight="1" x14ac:dyDescent="0.35">
      <c r="A192" s="1"/>
      <c r="B192" s="39"/>
      <c r="C192" s="13"/>
      <c r="D192" s="13"/>
      <c r="E192" s="4"/>
      <c r="F192" s="43"/>
      <c r="G192" s="13"/>
      <c r="H192" s="13"/>
      <c r="I192" s="8"/>
      <c r="J192" s="38"/>
      <c r="K192" s="112"/>
      <c r="L192" s="112"/>
      <c r="M192" s="133"/>
      <c r="N192" s="10"/>
      <c r="O192" s="13"/>
      <c r="P192" s="4"/>
      <c r="Q192" s="8"/>
      <c r="R192" s="155"/>
      <c r="S192" s="47"/>
      <c r="T192" s="1"/>
      <c r="U192" s="1"/>
      <c r="V192" s="5"/>
      <c r="W192" s="1"/>
      <c r="X192" s="1"/>
      <c r="Y192" s="1"/>
      <c r="Z192" s="1"/>
      <c r="AA192" s="1"/>
      <c r="AB192" s="1"/>
    </row>
    <row r="193" spans="1:28" s="2" customFormat="1" ht="20.149999999999999" customHeight="1" x14ac:dyDescent="0.35">
      <c r="A193" s="1"/>
      <c r="B193" s="39"/>
      <c r="C193" s="13"/>
      <c r="D193" s="13"/>
      <c r="E193" s="4"/>
      <c r="F193" s="43"/>
      <c r="G193" s="13"/>
      <c r="H193" s="13"/>
      <c r="I193" s="8"/>
      <c r="J193" s="38"/>
      <c r="K193" s="112"/>
      <c r="L193" s="112"/>
      <c r="M193" s="133"/>
      <c r="N193" s="10"/>
      <c r="O193" s="13"/>
      <c r="P193" s="4"/>
      <c r="Q193" s="8"/>
      <c r="R193" s="155"/>
      <c r="S193" s="47"/>
      <c r="T193" s="1"/>
      <c r="U193" s="1"/>
      <c r="V193" s="5"/>
      <c r="W193" s="1"/>
      <c r="X193" s="1"/>
      <c r="Y193" s="1"/>
      <c r="Z193" s="1"/>
      <c r="AA193" s="1"/>
      <c r="AB193" s="1"/>
    </row>
    <row r="194" spans="1:28" s="2" customFormat="1" ht="20.149999999999999" customHeight="1" x14ac:dyDescent="0.35">
      <c r="A194" s="1"/>
      <c r="B194" s="39"/>
      <c r="C194" s="13"/>
      <c r="D194" s="13"/>
      <c r="E194" s="4"/>
      <c r="F194" s="43"/>
      <c r="G194" s="13"/>
      <c r="H194" s="13"/>
      <c r="I194" s="8"/>
      <c r="J194" s="38"/>
      <c r="K194" s="112"/>
      <c r="L194" s="112"/>
      <c r="M194" s="133"/>
      <c r="N194" s="10"/>
      <c r="O194" s="13"/>
      <c r="P194" s="4"/>
      <c r="Q194" s="8"/>
      <c r="R194" s="155"/>
      <c r="S194" s="47"/>
      <c r="T194" s="1"/>
      <c r="U194" s="1"/>
      <c r="V194" s="5"/>
      <c r="W194" s="1"/>
      <c r="X194" s="1"/>
      <c r="Y194" s="1"/>
      <c r="Z194" s="1"/>
      <c r="AA194" s="1"/>
      <c r="AB194" s="1"/>
    </row>
    <row r="195" spans="1:28" s="2" customFormat="1" ht="20.149999999999999" customHeight="1" x14ac:dyDescent="0.35">
      <c r="A195" s="1"/>
      <c r="B195" s="39"/>
      <c r="C195" s="13"/>
      <c r="D195" s="13"/>
      <c r="E195" s="4"/>
      <c r="F195" s="43"/>
      <c r="G195" s="13"/>
      <c r="H195" s="13"/>
      <c r="I195" s="8"/>
      <c r="J195" s="38"/>
      <c r="K195" s="112"/>
      <c r="L195" s="112"/>
      <c r="M195" s="133"/>
      <c r="N195" s="10"/>
      <c r="O195" s="13"/>
      <c r="P195" s="4"/>
      <c r="Q195" s="8"/>
      <c r="R195" s="155"/>
      <c r="S195" s="47"/>
      <c r="T195" s="1"/>
      <c r="U195" s="1"/>
      <c r="V195" s="5"/>
      <c r="W195" s="1"/>
      <c r="X195" s="1"/>
      <c r="Y195" s="1"/>
      <c r="Z195" s="1"/>
      <c r="AA195" s="1"/>
      <c r="AB195" s="1"/>
    </row>
    <row r="196" spans="1:28" ht="20.149999999999999" customHeight="1" x14ac:dyDescent="0.35">
      <c r="E196" s="4"/>
      <c r="J196" s="38"/>
      <c r="K196" s="112"/>
      <c r="L196" s="112"/>
    </row>
    <row r="197" spans="1:28" ht="20.149999999999999" customHeight="1" x14ac:dyDescent="0.35">
      <c r="E197" s="4"/>
      <c r="J197" s="38"/>
      <c r="K197" s="112"/>
      <c r="L197" s="112"/>
    </row>
    <row r="198" spans="1:28" ht="20.149999999999999" customHeight="1" x14ac:dyDescent="0.35">
      <c r="E198" s="4"/>
      <c r="J198" s="38"/>
      <c r="K198" s="112"/>
      <c r="L198" s="112"/>
    </row>
    <row r="199" spans="1:28" ht="20.149999999999999" customHeight="1" x14ac:dyDescent="0.35">
      <c r="E199" s="4"/>
      <c r="J199" s="38"/>
      <c r="K199" s="112"/>
      <c r="L199" s="112"/>
    </row>
    <row r="200" spans="1:28" ht="20.149999999999999" customHeight="1" x14ac:dyDescent="0.35">
      <c r="E200" s="4"/>
      <c r="J200" s="38"/>
      <c r="K200" s="112"/>
      <c r="L200" s="112"/>
    </row>
    <row r="201" spans="1:28" ht="20.149999999999999" customHeight="1" x14ac:dyDescent="0.35">
      <c r="E201" s="4"/>
      <c r="J201" s="38"/>
      <c r="K201" s="112"/>
      <c r="L201" s="112"/>
    </row>
    <row r="202" spans="1:28" ht="20.149999999999999" customHeight="1" x14ac:dyDescent="0.35">
      <c r="E202" s="4"/>
      <c r="J202" s="38"/>
      <c r="K202" s="112"/>
      <c r="L202" s="112"/>
    </row>
    <row r="203" spans="1:28" ht="20.149999999999999" customHeight="1" x14ac:dyDescent="0.35">
      <c r="E203" s="4"/>
      <c r="J203" s="38"/>
      <c r="K203" s="112"/>
      <c r="L203" s="112"/>
    </row>
    <row r="204" spans="1:28" ht="20.149999999999999" customHeight="1" x14ac:dyDescent="0.35">
      <c r="E204" s="4"/>
      <c r="J204" s="38"/>
      <c r="K204" s="112"/>
      <c r="L204" s="112"/>
    </row>
    <row r="205" spans="1:28" ht="20.149999999999999" customHeight="1" x14ac:dyDescent="0.35">
      <c r="E205" s="4"/>
      <c r="J205" s="38"/>
      <c r="K205" s="112"/>
      <c r="L205" s="112"/>
    </row>
    <row r="206" spans="1:28" ht="20.149999999999999" customHeight="1" x14ac:dyDescent="0.35">
      <c r="E206" s="4"/>
      <c r="J206" s="38"/>
      <c r="K206" s="112"/>
      <c r="L206" s="112"/>
    </row>
    <row r="207" spans="1:28" ht="20.149999999999999" customHeight="1" x14ac:dyDescent="0.35">
      <c r="E207" s="4"/>
      <c r="J207" s="38"/>
      <c r="K207" s="112"/>
      <c r="L207" s="112"/>
    </row>
    <row r="208" spans="1:28" s="6" customFormat="1" ht="20.149999999999999" customHeight="1" x14ac:dyDescent="0.35">
      <c r="A208" s="1"/>
      <c r="B208" s="39"/>
      <c r="C208" s="13"/>
      <c r="D208" s="13"/>
      <c r="E208" s="4"/>
      <c r="F208" s="43"/>
      <c r="G208" s="13"/>
      <c r="H208" s="13"/>
      <c r="I208" s="8"/>
      <c r="J208" s="38"/>
      <c r="K208" s="112"/>
      <c r="L208" s="112"/>
      <c r="M208" s="133"/>
      <c r="N208" s="10"/>
      <c r="O208" s="13"/>
      <c r="P208" s="4"/>
      <c r="Q208" s="8"/>
      <c r="R208" s="155"/>
      <c r="S208" s="47"/>
      <c r="T208" s="1"/>
      <c r="U208" s="1"/>
      <c r="V208" s="5"/>
      <c r="W208" s="1"/>
      <c r="X208" s="1"/>
      <c r="Y208" s="1"/>
    </row>
    <row r="209" spans="1:28" s="6" customFormat="1" ht="20.149999999999999" customHeight="1" x14ac:dyDescent="0.35">
      <c r="A209" s="1"/>
      <c r="B209" s="39"/>
      <c r="C209" s="13"/>
      <c r="D209" s="13"/>
      <c r="E209" s="4"/>
      <c r="F209" s="43"/>
      <c r="G209" s="13"/>
      <c r="H209" s="13"/>
      <c r="I209" s="8"/>
      <c r="J209" s="38"/>
      <c r="K209" s="112"/>
      <c r="L209" s="112"/>
      <c r="M209" s="133"/>
      <c r="N209" s="10"/>
      <c r="O209" s="13"/>
      <c r="P209" s="4"/>
      <c r="Q209" s="8"/>
      <c r="R209" s="155"/>
      <c r="S209" s="47"/>
      <c r="T209" s="1"/>
      <c r="U209" s="1"/>
      <c r="V209" s="5"/>
      <c r="W209" s="1"/>
      <c r="X209" s="1"/>
      <c r="Y209" s="1"/>
    </row>
    <row r="210" spans="1:28" ht="20.149999999999999" customHeight="1" x14ac:dyDescent="0.35">
      <c r="E210" s="4"/>
      <c r="J210" s="38"/>
      <c r="K210" s="112"/>
      <c r="L210" s="112"/>
    </row>
    <row r="211" spans="1:28" ht="20.149999999999999" customHeight="1" x14ac:dyDescent="0.35">
      <c r="E211" s="4"/>
      <c r="J211" s="38"/>
      <c r="K211" s="112"/>
      <c r="L211" s="112"/>
    </row>
    <row r="212" spans="1:28" s="4" customFormat="1" ht="20.149999999999999" customHeight="1" x14ac:dyDescent="0.35">
      <c r="A212" s="1"/>
      <c r="B212" s="39"/>
      <c r="C212" s="13"/>
      <c r="D212" s="13"/>
      <c r="F212" s="43"/>
      <c r="G212" s="13"/>
      <c r="H212" s="13"/>
      <c r="I212" s="8"/>
      <c r="J212" s="38"/>
      <c r="K212" s="112"/>
      <c r="L212" s="112"/>
      <c r="M212" s="133"/>
      <c r="N212" s="10"/>
      <c r="O212" s="13"/>
      <c r="Q212" s="8"/>
      <c r="R212" s="155"/>
      <c r="S212" s="47"/>
      <c r="T212" s="1"/>
      <c r="U212" s="1"/>
      <c r="V212" s="5"/>
      <c r="W212" s="1"/>
      <c r="X212" s="1"/>
      <c r="Y212" s="1"/>
      <c r="Z212" s="1"/>
      <c r="AA212" s="1"/>
      <c r="AB212" s="1"/>
    </row>
    <row r="213" spans="1:28" s="4" customFormat="1" ht="20.149999999999999" customHeight="1" x14ac:dyDescent="0.35">
      <c r="A213" s="1"/>
      <c r="B213" s="39"/>
      <c r="C213" s="13"/>
      <c r="D213" s="13"/>
      <c r="F213" s="43"/>
      <c r="G213" s="13"/>
      <c r="H213" s="13"/>
      <c r="I213" s="8"/>
      <c r="J213" s="38"/>
      <c r="K213" s="112"/>
      <c r="L213" s="112"/>
      <c r="M213" s="133"/>
      <c r="N213" s="10"/>
      <c r="O213" s="13"/>
      <c r="Q213" s="8"/>
      <c r="R213" s="155"/>
      <c r="S213" s="47"/>
      <c r="T213" s="1"/>
      <c r="U213" s="1"/>
      <c r="V213" s="5"/>
      <c r="W213" s="1"/>
      <c r="X213" s="1"/>
      <c r="Y213" s="1"/>
      <c r="Z213" s="1"/>
      <c r="AA213" s="1"/>
      <c r="AB213" s="1"/>
    </row>
    <row r="214" spans="1:28" s="4" customFormat="1" ht="20.149999999999999" customHeight="1" x14ac:dyDescent="0.35">
      <c r="A214" s="1"/>
      <c r="B214" s="39"/>
      <c r="C214" s="13"/>
      <c r="D214" s="13"/>
      <c r="F214" s="43"/>
      <c r="G214" s="13"/>
      <c r="H214" s="13"/>
      <c r="I214" s="8"/>
      <c r="J214" s="38"/>
      <c r="K214" s="112"/>
      <c r="L214" s="112"/>
      <c r="M214" s="133"/>
      <c r="N214" s="10"/>
      <c r="O214" s="13"/>
      <c r="Q214" s="8"/>
      <c r="R214" s="155"/>
      <c r="S214" s="47"/>
      <c r="T214" s="1"/>
      <c r="U214" s="1"/>
      <c r="V214" s="5"/>
      <c r="W214" s="1"/>
      <c r="X214" s="1"/>
      <c r="Y214" s="1"/>
      <c r="Z214" s="1"/>
      <c r="AA214" s="1"/>
      <c r="AB214" s="1"/>
    </row>
    <row r="215" spans="1:28" s="4" customFormat="1" ht="20.149999999999999" customHeight="1" x14ac:dyDescent="0.35">
      <c r="A215" s="1"/>
      <c r="B215" s="39"/>
      <c r="C215" s="13"/>
      <c r="D215" s="13"/>
      <c r="F215" s="43"/>
      <c r="G215" s="13"/>
      <c r="H215" s="13"/>
      <c r="I215" s="8"/>
      <c r="J215" s="38"/>
      <c r="K215" s="112"/>
      <c r="L215" s="112"/>
      <c r="M215" s="133"/>
      <c r="N215" s="10"/>
      <c r="O215" s="13"/>
      <c r="Q215" s="8"/>
      <c r="R215" s="155"/>
      <c r="S215" s="47"/>
      <c r="T215" s="1"/>
      <c r="U215" s="1"/>
      <c r="V215" s="5"/>
      <c r="W215" s="1"/>
      <c r="X215" s="1"/>
      <c r="Y215" s="1"/>
      <c r="Z215" s="1"/>
      <c r="AA215" s="1"/>
      <c r="AB215" s="1"/>
    </row>
    <row r="216" spans="1:28" s="4" customFormat="1" ht="20.149999999999999" customHeight="1" x14ac:dyDescent="0.35">
      <c r="A216" s="1"/>
      <c r="B216" s="39"/>
      <c r="C216" s="13"/>
      <c r="D216" s="13"/>
      <c r="F216" s="43"/>
      <c r="G216" s="13"/>
      <c r="H216" s="13"/>
      <c r="I216" s="8"/>
      <c r="J216" s="38"/>
      <c r="K216" s="112"/>
      <c r="L216" s="112"/>
      <c r="M216" s="133"/>
      <c r="N216" s="10"/>
      <c r="O216" s="13"/>
      <c r="Q216" s="8"/>
      <c r="R216" s="155"/>
      <c r="S216" s="47"/>
      <c r="T216" s="1"/>
      <c r="U216" s="1"/>
      <c r="V216" s="5"/>
      <c r="W216" s="1"/>
      <c r="X216" s="1"/>
      <c r="Y216" s="1"/>
      <c r="Z216" s="1"/>
      <c r="AA216" s="1"/>
      <c r="AB216" s="1"/>
    </row>
    <row r="217" spans="1:28" s="4" customFormat="1" ht="20.149999999999999" customHeight="1" x14ac:dyDescent="0.35">
      <c r="A217" s="1"/>
      <c r="B217" s="39"/>
      <c r="C217" s="13"/>
      <c r="D217" s="13"/>
      <c r="F217" s="43"/>
      <c r="G217" s="13"/>
      <c r="H217" s="13"/>
      <c r="I217" s="8"/>
      <c r="J217" s="38"/>
      <c r="K217" s="112"/>
      <c r="L217" s="112"/>
      <c r="M217" s="133"/>
      <c r="N217" s="10"/>
      <c r="O217" s="13"/>
      <c r="Q217" s="8"/>
      <c r="R217" s="155"/>
      <c r="S217" s="47"/>
      <c r="T217" s="1"/>
      <c r="U217" s="1"/>
      <c r="V217" s="5"/>
      <c r="W217" s="1"/>
      <c r="X217" s="1"/>
      <c r="Y217" s="1"/>
      <c r="Z217" s="1"/>
      <c r="AA217" s="1"/>
      <c r="AB217" s="1"/>
    </row>
    <row r="218" spans="1:28" s="4" customFormat="1" ht="20.149999999999999" customHeight="1" x14ac:dyDescent="0.35">
      <c r="A218" s="1"/>
      <c r="B218" s="39"/>
      <c r="C218" s="13"/>
      <c r="D218" s="13"/>
      <c r="F218" s="43"/>
      <c r="G218" s="13"/>
      <c r="H218" s="13"/>
      <c r="I218" s="8"/>
      <c r="J218" s="38"/>
      <c r="K218" s="112"/>
      <c r="L218" s="112"/>
      <c r="M218" s="133"/>
      <c r="N218" s="10"/>
      <c r="O218" s="13"/>
      <c r="Q218" s="8"/>
      <c r="R218" s="155"/>
      <c r="S218" s="47"/>
      <c r="T218" s="1"/>
      <c r="U218" s="1"/>
      <c r="V218" s="5"/>
      <c r="W218" s="1"/>
      <c r="X218" s="1"/>
      <c r="Y218" s="1"/>
      <c r="Z218" s="1"/>
      <c r="AA218" s="1"/>
      <c r="AB218" s="1"/>
    </row>
    <row r="219" spans="1:28" s="4" customFormat="1" ht="20.149999999999999" customHeight="1" x14ac:dyDescent="0.35">
      <c r="A219" s="1"/>
      <c r="B219" s="39"/>
      <c r="C219" s="13"/>
      <c r="D219" s="13"/>
      <c r="F219" s="43"/>
      <c r="G219" s="13"/>
      <c r="H219" s="13"/>
      <c r="I219" s="8"/>
      <c r="J219" s="38"/>
      <c r="K219" s="112"/>
      <c r="L219" s="112"/>
      <c r="M219" s="133"/>
      <c r="N219" s="10"/>
      <c r="O219" s="13"/>
      <c r="Q219" s="8"/>
      <c r="R219" s="155"/>
      <c r="S219" s="47"/>
      <c r="T219" s="1"/>
      <c r="U219" s="1"/>
      <c r="V219" s="5"/>
      <c r="W219" s="1"/>
      <c r="X219" s="1"/>
      <c r="Y219" s="1"/>
      <c r="Z219" s="1"/>
      <c r="AA219" s="1"/>
      <c r="AB219" s="1"/>
    </row>
    <row r="220" spans="1:28" s="4" customFormat="1" ht="20.149999999999999" customHeight="1" x14ac:dyDescent="0.35">
      <c r="A220" s="1"/>
      <c r="B220" s="39"/>
      <c r="C220" s="13"/>
      <c r="D220" s="13"/>
      <c r="F220" s="43"/>
      <c r="G220" s="13"/>
      <c r="H220" s="13"/>
      <c r="I220" s="8"/>
      <c r="J220" s="38"/>
      <c r="K220" s="112"/>
      <c r="L220" s="112"/>
      <c r="M220" s="133"/>
      <c r="N220" s="10"/>
      <c r="O220" s="13"/>
      <c r="Q220" s="8"/>
      <c r="R220" s="155"/>
      <c r="S220" s="47"/>
      <c r="T220" s="1"/>
      <c r="U220" s="1"/>
      <c r="V220" s="5"/>
      <c r="W220" s="1"/>
      <c r="X220" s="1"/>
      <c r="Y220" s="1"/>
      <c r="Z220" s="1"/>
      <c r="AA220" s="1"/>
      <c r="AB220" s="1"/>
    </row>
    <row r="221" spans="1:28" s="4" customFormat="1" ht="20.149999999999999" customHeight="1" x14ac:dyDescent="0.35">
      <c r="A221" s="1"/>
      <c r="B221" s="39"/>
      <c r="C221" s="13"/>
      <c r="D221" s="13"/>
      <c r="F221" s="43"/>
      <c r="G221" s="13"/>
      <c r="H221" s="13"/>
      <c r="I221" s="8"/>
      <c r="J221" s="38"/>
      <c r="K221" s="112"/>
      <c r="L221" s="112"/>
      <c r="M221" s="133"/>
      <c r="N221" s="10"/>
      <c r="O221" s="13"/>
      <c r="Q221" s="8"/>
      <c r="R221" s="155"/>
      <c r="S221" s="47"/>
      <c r="T221" s="1"/>
      <c r="U221" s="1"/>
      <c r="V221" s="5"/>
      <c r="W221" s="1"/>
      <c r="X221" s="1"/>
      <c r="Y221" s="1"/>
      <c r="Z221" s="1"/>
      <c r="AA221" s="1"/>
      <c r="AB221" s="1"/>
    </row>
    <row r="222" spans="1:28" s="4" customFormat="1" ht="20.149999999999999" customHeight="1" x14ac:dyDescent="0.35">
      <c r="A222" s="1"/>
      <c r="B222" s="39"/>
      <c r="C222" s="13"/>
      <c r="D222" s="13"/>
      <c r="F222" s="43"/>
      <c r="G222" s="13"/>
      <c r="H222" s="13"/>
      <c r="I222" s="8"/>
      <c r="J222" s="38"/>
      <c r="K222" s="112"/>
      <c r="L222" s="112"/>
      <c r="M222" s="133"/>
      <c r="N222" s="10"/>
      <c r="O222" s="13"/>
      <c r="Q222" s="8"/>
      <c r="R222" s="155"/>
      <c r="S222" s="47"/>
      <c r="T222" s="1"/>
      <c r="U222" s="1"/>
      <c r="V222" s="5"/>
      <c r="W222" s="1"/>
      <c r="X222" s="1"/>
      <c r="Y222" s="1"/>
      <c r="Z222" s="1"/>
      <c r="AA222" s="1"/>
      <c r="AB222" s="1"/>
    </row>
    <row r="223" spans="1:28" s="4" customFormat="1" ht="20.149999999999999" customHeight="1" x14ac:dyDescent="0.35">
      <c r="A223" s="1"/>
      <c r="B223" s="39"/>
      <c r="C223" s="13"/>
      <c r="D223" s="13"/>
      <c r="F223" s="43"/>
      <c r="G223" s="13"/>
      <c r="H223" s="13"/>
      <c r="I223" s="8"/>
      <c r="J223" s="38"/>
      <c r="K223" s="112"/>
      <c r="L223" s="112"/>
      <c r="M223" s="133"/>
      <c r="N223" s="10"/>
      <c r="O223" s="13"/>
      <c r="Q223" s="8"/>
      <c r="R223" s="155"/>
      <c r="S223" s="47"/>
      <c r="T223" s="1"/>
      <c r="U223" s="1"/>
      <c r="V223" s="5"/>
      <c r="W223" s="1"/>
      <c r="X223" s="1"/>
      <c r="Y223" s="1"/>
      <c r="Z223" s="1"/>
      <c r="AA223" s="1"/>
      <c r="AB223" s="1"/>
    </row>
    <row r="224" spans="1:28" s="4" customFormat="1" ht="20.149999999999999" customHeight="1" x14ac:dyDescent="0.35">
      <c r="A224" s="1"/>
      <c r="B224" s="39"/>
      <c r="C224" s="13"/>
      <c r="D224" s="13"/>
      <c r="F224" s="43"/>
      <c r="G224" s="13"/>
      <c r="H224" s="13"/>
      <c r="I224" s="8"/>
      <c r="J224" s="38"/>
      <c r="K224" s="112"/>
      <c r="L224" s="112"/>
      <c r="M224" s="133"/>
      <c r="N224" s="10"/>
      <c r="O224" s="13"/>
      <c r="Q224" s="8"/>
      <c r="R224" s="155"/>
      <c r="S224" s="47"/>
      <c r="T224" s="1"/>
      <c r="U224" s="1"/>
      <c r="V224" s="5"/>
      <c r="W224" s="1"/>
      <c r="X224" s="1"/>
      <c r="Y224" s="1"/>
      <c r="Z224" s="1"/>
      <c r="AA224" s="1"/>
      <c r="AB224" s="1"/>
    </row>
    <row r="225" spans="1:28" s="4" customFormat="1" ht="20.149999999999999" customHeight="1" x14ac:dyDescent="0.35">
      <c r="A225" s="1"/>
      <c r="B225" s="39"/>
      <c r="C225" s="13"/>
      <c r="D225" s="13"/>
      <c r="F225" s="43"/>
      <c r="G225" s="13"/>
      <c r="H225" s="13"/>
      <c r="I225" s="8"/>
      <c r="J225" s="38"/>
      <c r="K225" s="112"/>
      <c r="L225" s="112"/>
      <c r="M225" s="133"/>
      <c r="N225" s="10"/>
      <c r="O225" s="13"/>
      <c r="Q225" s="8"/>
      <c r="R225" s="155"/>
      <c r="S225" s="47"/>
      <c r="T225" s="1"/>
      <c r="U225" s="1"/>
      <c r="V225" s="5"/>
      <c r="W225" s="1"/>
      <c r="X225" s="1"/>
      <c r="Y225" s="1"/>
      <c r="Z225" s="1"/>
      <c r="AA225" s="1"/>
      <c r="AB225" s="1"/>
    </row>
    <row r="226" spans="1:28" s="4" customFormat="1" ht="20.149999999999999" customHeight="1" x14ac:dyDescent="0.35">
      <c r="A226" s="1"/>
      <c r="B226" s="39"/>
      <c r="C226" s="13"/>
      <c r="D226" s="13"/>
      <c r="F226" s="43"/>
      <c r="G226" s="13"/>
      <c r="H226" s="13"/>
      <c r="I226" s="8"/>
      <c r="J226" s="38"/>
      <c r="K226" s="112"/>
      <c r="L226" s="112"/>
      <c r="M226" s="133"/>
      <c r="N226" s="10"/>
      <c r="O226" s="13"/>
      <c r="Q226" s="8"/>
      <c r="R226" s="155"/>
      <c r="S226" s="47"/>
      <c r="T226" s="1"/>
      <c r="U226" s="1"/>
      <c r="V226" s="5"/>
      <c r="W226" s="1"/>
      <c r="X226" s="1"/>
      <c r="Y226" s="1"/>
      <c r="Z226" s="1"/>
      <c r="AA226" s="1"/>
      <c r="AB226" s="1"/>
    </row>
    <row r="227" spans="1:28" s="4" customFormat="1" ht="20.149999999999999" customHeight="1" x14ac:dyDescent="0.35">
      <c r="A227" s="1"/>
      <c r="B227" s="39"/>
      <c r="C227" s="13"/>
      <c r="D227" s="13"/>
      <c r="F227" s="43"/>
      <c r="G227" s="13"/>
      <c r="H227" s="13"/>
      <c r="I227" s="8"/>
      <c r="J227" s="38"/>
      <c r="K227" s="112"/>
      <c r="L227" s="112"/>
      <c r="M227" s="133"/>
      <c r="N227" s="10"/>
      <c r="O227" s="13"/>
      <c r="Q227" s="8"/>
      <c r="R227" s="155"/>
      <c r="S227" s="47"/>
      <c r="T227" s="1"/>
      <c r="U227" s="1"/>
      <c r="V227" s="5"/>
      <c r="W227" s="1"/>
      <c r="X227" s="1"/>
      <c r="Y227" s="1"/>
      <c r="Z227" s="1"/>
      <c r="AA227" s="1"/>
      <c r="AB227" s="1"/>
    </row>
    <row r="228" spans="1:28" s="4" customFormat="1" ht="20.149999999999999" customHeight="1" x14ac:dyDescent="0.35">
      <c r="A228" s="1"/>
      <c r="B228" s="39"/>
      <c r="C228" s="13"/>
      <c r="D228" s="13"/>
      <c r="F228" s="43"/>
      <c r="G228" s="13"/>
      <c r="H228" s="13"/>
      <c r="I228" s="8"/>
      <c r="J228" s="38"/>
      <c r="K228" s="112"/>
      <c r="L228" s="112"/>
      <c r="M228" s="133"/>
      <c r="N228" s="10"/>
      <c r="O228" s="13"/>
      <c r="Q228" s="8"/>
      <c r="R228" s="155"/>
      <c r="S228" s="47"/>
      <c r="T228" s="1"/>
      <c r="U228" s="1"/>
      <c r="V228" s="5"/>
      <c r="W228" s="1"/>
      <c r="X228" s="1"/>
      <c r="Y228" s="1"/>
      <c r="Z228" s="1"/>
      <c r="AA228" s="1"/>
      <c r="AB228" s="1"/>
    </row>
    <row r="229" spans="1:28" s="4" customFormat="1" ht="20.149999999999999" customHeight="1" x14ac:dyDescent="0.35">
      <c r="A229" s="1"/>
      <c r="B229" s="39"/>
      <c r="C229" s="13"/>
      <c r="D229" s="13"/>
      <c r="F229" s="43"/>
      <c r="G229" s="13"/>
      <c r="H229" s="13"/>
      <c r="I229" s="8"/>
      <c r="J229" s="38"/>
      <c r="K229" s="112"/>
      <c r="L229" s="112"/>
      <c r="M229" s="133"/>
      <c r="N229" s="10"/>
      <c r="O229" s="13"/>
      <c r="Q229" s="8"/>
      <c r="R229" s="155"/>
      <c r="S229" s="47"/>
      <c r="T229" s="1"/>
      <c r="U229" s="1"/>
      <c r="V229" s="5"/>
      <c r="W229" s="1"/>
      <c r="X229" s="1"/>
      <c r="Y229" s="1"/>
      <c r="Z229" s="1"/>
      <c r="AA229" s="1"/>
      <c r="AB229" s="1"/>
    </row>
    <row r="230" spans="1:28" s="4" customFormat="1" ht="20.149999999999999" customHeight="1" x14ac:dyDescent="0.35">
      <c r="A230" s="1"/>
      <c r="B230" s="39"/>
      <c r="C230" s="13"/>
      <c r="D230" s="13"/>
      <c r="F230" s="43"/>
      <c r="G230" s="13"/>
      <c r="H230" s="13"/>
      <c r="I230" s="8"/>
      <c r="J230" s="38"/>
      <c r="K230" s="112"/>
      <c r="L230" s="112"/>
      <c r="M230" s="133"/>
      <c r="N230" s="10"/>
      <c r="O230" s="13"/>
      <c r="Q230" s="8"/>
      <c r="R230" s="155"/>
      <c r="S230" s="47"/>
      <c r="T230" s="1"/>
      <c r="U230" s="1"/>
      <c r="V230" s="5"/>
      <c r="W230" s="1"/>
      <c r="X230" s="1"/>
      <c r="Y230" s="1"/>
      <c r="Z230" s="1"/>
      <c r="AA230" s="1"/>
      <c r="AB230" s="1"/>
    </row>
    <row r="231" spans="1:28" s="4" customFormat="1" ht="20.149999999999999" customHeight="1" x14ac:dyDescent="0.35">
      <c r="A231" s="1"/>
      <c r="B231" s="39"/>
      <c r="C231" s="13"/>
      <c r="D231" s="13"/>
      <c r="F231" s="43"/>
      <c r="G231" s="13"/>
      <c r="H231" s="13"/>
      <c r="I231" s="8"/>
      <c r="J231" s="38"/>
      <c r="K231" s="112"/>
      <c r="L231" s="112"/>
      <c r="M231" s="133"/>
      <c r="N231" s="10"/>
      <c r="O231" s="13"/>
      <c r="Q231" s="8"/>
      <c r="R231" s="155"/>
      <c r="S231" s="47"/>
      <c r="T231" s="1"/>
      <c r="U231" s="1"/>
      <c r="V231" s="5"/>
      <c r="W231" s="1"/>
      <c r="X231" s="1"/>
      <c r="Y231" s="1"/>
      <c r="Z231" s="1"/>
      <c r="AA231" s="1"/>
      <c r="AB231" s="1"/>
    </row>
    <row r="232" spans="1:28" s="4" customFormat="1" ht="20.149999999999999" customHeight="1" x14ac:dyDescent="0.35">
      <c r="A232" s="1"/>
      <c r="B232" s="39"/>
      <c r="C232" s="13"/>
      <c r="D232" s="13"/>
      <c r="F232" s="43"/>
      <c r="G232" s="13"/>
      <c r="H232" s="13"/>
      <c r="I232" s="8"/>
      <c r="J232" s="38"/>
      <c r="K232" s="112"/>
      <c r="L232" s="112"/>
      <c r="M232" s="133"/>
      <c r="N232" s="10"/>
      <c r="O232" s="13"/>
      <c r="Q232" s="8"/>
      <c r="R232" s="155"/>
      <c r="S232" s="47"/>
      <c r="T232" s="1"/>
      <c r="U232" s="1"/>
      <c r="V232" s="5"/>
      <c r="W232" s="1"/>
      <c r="X232" s="1"/>
      <c r="Y232" s="1"/>
      <c r="Z232" s="1"/>
      <c r="AA232" s="1"/>
      <c r="AB232" s="1"/>
    </row>
    <row r="233" spans="1:28" s="4" customFormat="1" ht="20.149999999999999" customHeight="1" x14ac:dyDescent="0.35">
      <c r="A233" s="1"/>
      <c r="B233" s="39"/>
      <c r="C233" s="13"/>
      <c r="D233" s="13"/>
      <c r="F233" s="43"/>
      <c r="G233" s="13"/>
      <c r="H233" s="13"/>
      <c r="I233" s="8"/>
      <c r="J233" s="38"/>
      <c r="K233" s="112"/>
      <c r="L233" s="112"/>
      <c r="M233" s="133"/>
      <c r="N233" s="10"/>
      <c r="O233" s="13"/>
      <c r="Q233" s="8"/>
      <c r="R233" s="155"/>
      <c r="S233" s="47"/>
      <c r="T233" s="1"/>
      <c r="U233" s="1"/>
      <c r="V233" s="5"/>
      <c r="W233" s="1"/>
      <c r="X233" s="1"/>
      <c r="Y233" s="1"/>
      <c r="Z233" s="1"/>
      <c r="AA233" s="1"/>
      <c r="AB233" s="1"/>
    </row>
    <row r="234" spans="1:28" s="4" customFormat="1" ht="20.149999999999999" customHeight="1" x14ac:dyDescent="0.35">
      <c r="A234" s="1"/>
      <c r="B234" s="39"/>
      <c r="C234" s="13"/>
      <c r="D234" s="13"/>
      <c r="F234" s="43"/>
      <c r="G234" s="13"/>
      <c r="H234" s="13"/>
      <c r="I234" s="8"/>
      <c r="J234" s="38"/>
      <c r="K234" s="112"/>
      <c r="L234" s="112"/>
      <c r="M234" s="133"/>
      <c r="N234" s="10"/>
      <c r="O234" s="13"/>
      <c r="Q234" s="8"/>
      <c r="R234" s="155"/>
      <c r="S234" s="47"/>
      <c r="T234" s="1"/>
      <c r="U234" s="1"/>
      <c r="V234" s="5"/>
      <c r="W234" s="1"/>
      <c r="X234" s="1"/>
      <c r="Y234" s="1"/>
      <c r="Z234" s="1"/>
      <c r="AA234" s="1"/>
      <c r="AB234" s="1"/>
    </row>
    <row r="235" spans="1:28" s="4" customFormat="1" ht="20.149999999999999" customHeight="1" x14ac:dyDescent="0.35">
      <c r="A235" s="1"/>
      <c r="B235" s="39"/>
      <c r="C235" s="13"/>
      <c r="D235" s="13"/>
      <c r="F235" s="43"/>
      <c r="G235" s="13"/>
      <c r="H235" s="13"/>
      <c r="I235" s="8"/>
      <c r="J235" s="38"/>
      <c r="K235" s="112"/>
      <c r="L235" s="112"/>
      <c r="M235" s="133"/>
      <c r="N235" s="10"/>
      <c r="O235" s="13"/>
      <c r="Q235" s="8"/>
      <c r="R235" s="155"/>
      <c r="S235" s="47"/>
      <c r="T235" s="1"/>
      <c r="U235" s="1"/>
      <c r="V235" s="5"/>
      <c r="W235" s="1"/>
      <c r="X235" s="1"/>
      <c r="Y235" s="1"/>
      <c r="Z235" s="1"/>
      <c r="AA235" s="1"/>
      <c r="AB235" s="1"/>
    </row>
    <row r="236" spans="1:28" s="4" customFormat="1" ht="20.149999999999999" customHeight="1" x14ac:dyDescent="0.35">
      <c r="A236" s="1"/>
      <c r="B236" s="39"/>
      <c r="C236" s="13"/>
      <c r="D236" s="13"/>
      <c r="F236" s="43"/>
      <c r="G236" s="13"/>
      <c r="H236" s="13"/>
      <c r="I236" s="8"/>
      <c r="J236" s="38"/>
      <c r="K236" s="112"/>
      <c r="L236" s="112"/>
      <c r="M236" s="133"/>
      <c r="N236" s="10"/>
      <c r="O236" s="13"/>
      <c r="Q236" s="8"/>
      <c r="R236" s="155"/>
      <c r="S236" s="47"/>
      <c r="T236" s="1"/>
      <c r="U236" s="1"/>
      <c r="V236" s="5"/>
      <c r="W236" s="1"/>
      <c r="X236" s="1"/>
      <c r="Y236" s="1"/>
      <c r="Z236" s="1"/>
      <c r="AA236" s="1"/>
      <c r="AB236" s="1"/>
    </row>
    <row r="237" spans="1:28" s="4" customFormat="1" ht="20.149999999999999" customHeight="1" x14ac:dyDescent="0.35">
      <c r="A237" s="1"/>
      <c r="B237" s="39"/>
      <c r="C237" s="13"/>
      <c r="D237" s="13"/>
      <c r="F237" s="43"/>
      <c r="G237" s="13"/>
      <c r="H237" s="13"/>
      <c r="I237" s="8"/>
      <c r="J237" s="38"/>
      <c r="K237" s="112"/>
      <c r="L237" s="112"/>
      <c r="M237" s="133"/>
      <c r="N237" s="10"/>
      <c r="O237" s="13"/>
      <c r="Q237" s="8"/>
      <c r="R237" s="155"/>
      <c r="S237" s="47"/>
      <c r="T237" s="1"/>
      <c r="U237" s="1"/>
      <c r="V237" s="5"/>
      <c r="W237" s="1"/>
      <c r="X237" s="1"/>
      <c r="Y237" s="1"/>
      <c r="Z237" s="1"/>
      <c r="AA237" s="1"/>
      <c r="AB237" s="1"/>
    </row>
    <row r="238" spans="1:28" s="4" customFormat="1" ht="20.149999999999999" customHeight="1" x14ac:dyDescent="0.35">
      <c r="A238" s="1"/>
      <c r="B238" s="39"/>
      <c r="C238" s="13"/>
      <c r="D238" s="13"/>
      <c r="F238" s="43"/>
      <c r="G238" s="13"/>
      <c r="H238" s="13"/>
      <c r="I238" s="8"/>
      <c r="J238" s="38"/>
      <c r="K238" s="112"/>
      <c r="L238" s="112"/>
      <c r="M238" s="133"/>
      <c r="N238" s="10"/>
      <c r="O238" s="13"/>
      <c r="Q238" s="8"/>
      <c r="R238" s="155"/>
      <c r="S238" s="47"/>
      <c r="T238" s="1"/>
      <c r="U238" s="1"/>
      <c r="V238" s="5"/>
      <c r="W238" s="1"/>
      <c r="X238" s="1"/>
      <c r="Y238" s="1"/>
      <c r="Z238" s="1"/>
      <c r="AA238" s="1"/>
      <c r="AB238" s="1"/>
    </row>
    <row r="239" spans="1:28" s="4" customFormat="1" ht="20.149999999999999" customHeight="1" x14ac:dyDescent="0.35">
      <c r="A239" s="1"/>
      <c r="B239" s="39"/>
      <c r="C239" s="13"/>
      <c r="D239" s="13"/>
      <c r="F239" s="43"/>
      <c r="G239" s="13"/>
      <c r="H239" s="13"/>
      <c r="I239" s="8"/>
      <c r="J239" s="38"/>
      <c r="K239" s="112"/>
      <c r="L239" s="112"/>
      <c r="M239" s="133"/>
      <c r="N239" s="10"/>
      <c r="O239" s="13"/>
      <c r="Q239" s="8"/>
      <c r="R239" s="155"/>
      <c r="S239" s="47"/>
      <c r="T239" s="1"/>
      <c r="U239" s="1"/>
      <c r="V239" s="5"/>
      <c r="W239" s="1"/>
      <c r="X239" s="1"/>
      <c r="Y239" s="1"/>
      <c r="Z239" s="1"/>
      <c r="AA239" s="1"/>
      <c r="AB239" s="1"/>
    </row>
    <row r="240" spans="1:28" s="4" customFormat="1" ht="20.149999999999999" customHeight="1" x14ac:dyDescent="0.35">
      <c r="A240" s="1"/>
      <c r="B240" s="39"/>
      <c r="C240" s="13"/>
      <c r="D240" s="13"/>
      <c r="F240" s="43"/>
      <c r="G240" s="13"/>
      <c r="H240" s="13"/>
      <c r="I240" s="8"/>
      <c r="J240" s="39"/>
      <c r="K240" s="6"/>
      <c r="L240" s="6"/>
      <c r="M240" s="133"/>
      <c r="N240" s="10"/>
      <c r="O240" s="13"/>
      <c r="Q240" s="8"/>
      <c r="R240" s="155"/>
      <c r="S240" s="47"/>
      <c r="T240" s="1"/>
      <c r="U240" s="1"/>
      <c r="V240" s="5"/>
      <c r="W240" s="1"/>
      <c r="X240" s="1"/>
      <c r="Y240" s="1"/>
      <c r="Z240" s="1"/>
      <c r="AA240" s="1"/>
      <c r="AB240" s="1"/>
    </row>
    <row r="241" spans="1:28" s="4" customFormat="1" ht="20.149999999999999" customHeight="1" x14ac:dyDescent="0.35">
      <c r="A241" s="1"/>
      <c r="B241" s="39"/>
      <c r="C241" s="13"/>
      <c r="D241" s="13"/>
      <c r="F241" s="43"/>
      <c r="G241" s="13"/>
      <c r="H241" s="13"/>
      <c r="I241" s="8"/>
      <c r="J241" s="39"/>
      <c r="K241" s="6"/>
      <c r="L241" s="6"/>
      <c r="M241" s="133"/>
      <c r="N241" s="10"/>
      <c r="O241" s="13"/>
      <c r="Q241" s="8"/>
      <c r="R241" s="155"/>
      <c r="S241" s="47"/>
      <c r="T241" s="1"/>
      <c r="U241" s="1"/>
      <c r="V241" s="5"/>
      <c r="W241" s="1"/>
      <c r="X241" s="1"/>
      <c r="Y241" s="1"/>
      <c r="Z241" s="1"/>
      <c r="AA241" s="1"/>
      <c r="AB241" s="1"/>
    </row>
    <row r="242" spans="1:28" s="4" customFormat="1" ht="20.149999999999999" customHeight="1" x14ac:dyDescent="0.35">
      <c r="A242" s="1"/>
      <c r="B242" s="39"/>
      <c r="C242" s="13"/>
      <c r="D242" s="13"/>
      <c r="F242" s="43"/>
      <c r="G242" s="13"/>
      <c r="H242" s="13"/>
      <c r="I242" s="8"/>
      <c r="J242" s="39"/>
      <c r="K242" s="6"/>
      <c r="L242" s="6"/>
      <c r="M242" s="133"/>
      <c r="N242" s="10"/>
      <c r="O242" s="13"/>
      <c r="Q242" s="8"/>
      <c r="R242" s="155"/>
      <c r="S242" s="47"/>
      <c r="T242" s="1"/>
      <c r="U242" s="1"/>
      <c r="V242" s="5"/>
      <c r="W242" s="1"/>
      <c r="X242" s="1"/>
      <c r="Y242" s="1"/>
      <c r="Z242" s="1"/>
      <c r="AA242" s="1"/>
      <c r="AB242" s="1"/>
    </row>
    <row r="243" spans="1:28" s="4" customFormat="1" ht="20.149999999999999" customHeight="1" x14ac:dyDescent="0.35">
      <c r="A243" s="1"/>
      <c r="B243" s="39"/>
      <c r="C243" s="13"/>
      <c r="D243" s="13"/>
      <c r="F243" s="43"/>
      <c r="G243" s="13"/>
      <c r="H243" s="13"/>
      <c r="I243" s="8"/>
      <c r="J243" s="39"/>
      <c r="K243" s="6"/>
      <c r="L243" s="6"/>
      <c r="M243" s="133"/>
      <c r="N243" s="10"/>
      <c r="O243" s="13"/>
      <c r="Q243" s="8"/>
      <c r="R243" s="155"/>
      <c r="S243" s="47"/>
      <c r="T243" s="1"/>
      <c r="U243" s="1"/>
      <c r="V243" s="5"/>
      <c r="W243" s="1"/>
      <c r="X243" s="1"/>
      <c r="Y243" s="1"/>
      <c r="Z243" s="1"/>
      <c r="AA243" s="1"/>
      <c r="AB243" s="1"/>
    </row>
    <row r="244" spans="1:28" s="4" customFormat="1" ht="20.149999999999999" customHeight="1" x14ac:dyDescent="0.35">
      <c r="A244" s="1"/>
      <c r="B244" s="39"/>
      <c r="C244" s="13"/>
      <c r="D244" s="13"/>
      <c r="F244" s="43"/>
      <c r="G244" s="13"/>
      <c r="H244" s="13"/>
      <c r="I244" s="8"/>
      <c r="J244" s="39"/>
      <c r="K244" s="6"/>
      <c r="L244" s="6"/>
      <c r="M244" s="133"/>
      <c r="N244" s="10"/>
      <c r="O244" s="13"/>
      <c r="Q244" s="8"/>
      <c r="R244" s="155"/>
      <c r="S244" s="47"/>
      <c r="T244" s="1"/>
      <c r="U244" s="1"/>
      <c r="V244" s="5"/>
      <c r="W244" s="1"/>
      <c r="X244" s="1"/>
      <c r="Y244" s="1"/>
      <c r="Z244" s="1"/>
      <c r="AA244" s="1"/>
      <c r="AB244" s="1"/>
    </row>
    <row r="245" spans="1:28" s="4" customFormat="1" ht="20.149999999999999" customHeight="1" x14ac:dyDescent="0.35">
      <c r="A245" s="1"/>
      <c r="B245" s="39"/>
      <c r="C245" s="13"/>
      <c r="D245" s="13"/>
      <c r="F245" s="43"/>
      <c r="G245" s="13"/>
      <c r="H245" s="13"/>
      <c r="I245" s="8"/>
      <c r="J245" s="39"/>
      <c r="K245" s="6"/>
      <c r="L245" s="6"/>
      <c r="M245" s="133"/>
      <c r="N245" s="10"/>
      <c r="O245" s="13"/>
      <c r="Q245" s="8"/>
      <c r="R245" s="155"/>
      <c r="S245" s="47"/>
      <c r="T245" s="1"/>
      <c r="U245" s="1"/>
      <c r="V245" s="5"/>
      <c r="W245" s="1"/>
      <c r="X245" s="1"/>
      <c r="Y245" s="1"/>
      <c r="Z245" s="1"/>
      <c r="AA245" s="1"/>
      <c r="AB245" s="1"/>
    </row>
    <row r="246" spans="1:28" s="4" customFormat="1" ht="20.149999999999999" customHeight="1" x14ac:dyDescent="0.35">
      <c r="A246" s="1"/>
      <c r="B246" s="39"/>
      <c r="C246" s="13"/>
      <c r="D246" s="13"/>
      <c r="F246" s="43"/>
      <c r="G246" s="13"/>
      <c r="H246" s="13"/>
      <c r="I246" s="8"/>
      <c r="J246" s="39"/>
      <c r="K246" s="6"/>
      <c r="L246" s="6"/>
      <c r="M246" s="133"/>
      <c r="N246" s="10"/>
      <c r="O246" s="13"/>
      <c r="Q246" s="8"/>
      <c r="R246" s="155"/>
      <c r="S246" s="47"/>
      <c r="T246" s="1"/>
      <c r="U246" s="1"/>
      <c r="V246" s="5"/>
      <c r="W246" s="1"/>
      <c r="X246" s="1"/>
      <c r="Y246" s="1"/>
      <c r="Z246" s="1"/>
      <c r="AA246" s="1"/>
      <c r="AB246" s="1"/>
    </row>
    <row r="247" spans="1:28" s="4" customFormat="1" ht="20.149999999999999" customHeight="1" x14ac:dyDescent="0.35">
      <c r="A247" s="1"/>
      <c r="B247" s="39"/>
      <c r="C247" s="13"/>
      <c r="D247" s="13"/>
      <c r="F247" s="43"/>
      <c r="G247" s="13"/>
      <c r="H247" s="13"/>
      <c r="I247" s="8"/>
      <c r="J247" s="39"/>
      <c r="K247" s="6"/>
      <c r="L247" s="6"/>
      <c r="M247" s="133"/>
      <c r="N247" s="10"/>
      <c r="O247" s="13"/>
      <c r="Q247" s="8"/>
      <c r="R247" s="155"/>
      <c r="S247" s="47"/>
      <c r="T247" s="1"/>
      <c r="U247" s="1"/>
      <c r="V247" s="5"/>
      <c r="W247" s="1"/>
      <c r="X247" s="1"/>
      <c r="Y247" s="1"/>
      <c r="Z247" s="1"/>
      <c r="AA247" s="1"/>
      <c r="AB247" s="1"/>
    </row>
    <row r="248" spans="1:28" s="4" customFormat="1" ht="20.149999999999999" customHeight="1" x14ac:dyDescent="0.35">
      <c r="A248" s="1"/>
      <c r="B248" s="39"/>
      <c r="C248" s="13"/>
      <c r="D248" s="13"/>
      <c r="F248" s="43"/>
      <c r="G248" s="13"/>
      <c r="H248" s="13"/>
      <c r="I248" s="8"/>
      <c r="J248" s="39"/>
      <c r="K248" s="6"/>
      <c r="L248" s="6"/>
      <c r="M248" s="133"/>
      <c r="N248" s="10"/>
      <c r="O248" s="13"/>
      <c r="Q248" s="8"/>
      <c r="R248" s="155"/>
      <c r="S248" s="47"/>
      <c r="T248" s="1"/>
      <c r="U248" s="1"/>
      <c r="V248" s="5"/>
      <c r="W248" s="1"/>
      <c r="X248" s="1"/>
      <c r="Y248" s="1"/>
      <c r="Z248" s="1"/>
      <c r="AA248" s="1"/>
      <c r="AB248" s="1"/>
    </row>
    <row r="249" spans="1:28" s="4" customFormat="1" ht="20.149999999999999" customHeight="1" x14ac:dyDescent="0.35">
      <c r="A249" s="1"/>
      <c r="B249" s="39"/>
      <c r="C249" s="13"/>
      <c r="D249" s="13"/>
      <c r="F249" s="43"/>
      <c r="G249" s="13"/>
      <c r="H249" s="13"/>
      <c r="I249" s="8"/>
      <c r="J249" s="39"/>
      <c r="K249" s="6"/>
      <c r="L249" s="6"/>
      <c r="M249" s="133"/>
      <c r="N249" s="10"/>
      <c r="O249" s="13"/>
      <c r="Q249" s="8"/>
      <c r="R249" s="155"/>
      <c r="S249" s="47"/>
      <c r="T249" s="1"/>
      <c r="U249" s="1"/>
      <c r="V249" s="5"/>
      <c r="W249" s="1"/>
      <c r="X249" s="1"/>
      <c r="Y249" s="1"/>
      <c r="Z249" s="1"/>
      <c r="AA249" s="1"/>
      <c r="AB249" s="1"/>
    </row>
    <row r="250" spans="1:28" s="4" customFormat="1" ht="20.149999999999999" customHeight="1" x14ac:dyDescent="0.35">
      <c r="A250" s="1"/>
      <c r="B250" s="39"/>
      <c r="C250" s="13"/>
      <c r="D250" s="13"/>
      <c r="F250" s="43"/>
      <c r="G250" s="13"/>
      <c r="H250" s="13"/>
      <c r="I250" s="8"/>
      <c r="J250" s="39"/>
      <c r="K250" s="6"/>
      <c r="L250" s="6"/>
      <c r="M250" s="133"/>
      <c r="N250" s="10"/>
      <c r="O250" s="13"/>
      <c r="Q250" s="8"/>
      <c r="R250" s="155"/>
      <c r="S250" s="47"/>
      <c r="T250" s="1"/>
      <c r="U250" s="1"/>
      <c r="V250" s="5"/>
      <c r="W250" s="1"/>
      <c r="X250" s="1"/>
      <c r="Y250" s="1"/>
      <c r="Z250" s="1"/>
      <c r="AA250" s="1"/>
      <c r="AB250" s="1"/>
    </row>
    <row r="251" spans="1:28" s="4" customFormat="1" ht="20.149999999999999" customHeight="1" x14ac:dyDescent="0.35">
      <c r="A251" s="1"/>
      <c r="B251" s="39"/>
      <c r="C251" s="13"/>
      <c r="D251" s="13"/>
      <c r="F251" s="43"/>
      <c r="G251" s="13"/>
      <c r="H251" s="13"/>
      <c r="I251" s="8"/>
      <c r="J251" s="39"/>
      <c r="K251" s="6"/>
      <c r="L251" s="6"/>
      <c r="M251" s="133"/>
      <c r="N251" s="10"/>
      <c r="O251" s="13"/>
      <c r="Q251" s="8"/>
      <c r="R251" s="155"/>
      <c r="S251" s="47"/>
      <c r="T251" s="1"/>
      <c r="U251" s="1"/>
      <c r="V251" s="5"/>
      <c r="W251" s="1"/>
      <c r="X251" s="1"/>
      <c r="Y251" s="1"/>
      <c r="Z251" s="1"/>
      <c r="AA251" s="1"/>
      <c r="AB251" s="1"/>
    </row>
    <row r="252" spans="1:28" s="4" customFormat="1" ht="20.149999999999999" customHeight="1" x14ac:dyDescent="0.35">
      <c r="A252" s="1"/>
      <c r="B252" s="39"/>
      <c r="C252" s="13"/>
      <c r="D252" s="13"/>
      <c r="F252" s="43"/>
      <c r="G252" s="13"/>
      <c r="H252" s="13"/>
      <c r="I252" s="8"/>
      <c r="J252" s="39"/>
      <c r="K252" s="6"/>
      <c r="L252" s="6"/>
      <c r="M252" s="133"/>
      <c r="N252" s="10"/>
      <c r="O252" s="13"/>
      <c r="Q252" s="8"/>
      <c r="R252" s="155"/>
      <c r="S252" s="47"/>
      <c r="T252" s="1"/>
      <c r="U252" s="1"/>
      <c r="V252" s="5"/>
      <c r="W252" s="1"/>
      <c r="X252" s="1"/>
      <c r="Y252" s="1"/>
      <c r="Z252" s="1"/>
      <c r="AA252" s="1"/>
      <c r="AB252" s="1"/>
    </row>
    <row r="253" spans="1:28" s="4" customFormat="1" ht="20.149999999999999" customHeight="1" x14ac:dyDescent="0.35">
      <c r="A253" s="1"/>
      <c r="B253" s="39"/>
      <c r="C253" s="13"/>
      <c r="D253" s="13"/>
      <c r="F253" s="43"/>
      <c r="G253" s="13"/>
      <c r="H253" s="13"/>
      <c r="I253" s="8"/>
      <c r="J253" s="39"/>
      <c r="K253" s="6"/>
      <c r="L253" s="6"/>
      <c r="M253" s="133"/>
      <c r="N253" s="10"/>
      <c r="O253" s="13"/>
      <c r="Q253" s="8"/>
      <c r="R253" s="155"/>
      <c r="S253" s="47"/>
      <c r="T253" s="1"/>
      <c r="U253" s="1"/>
      <c r="V253" s="5"/>
      <c r="W253" s="1"/>
      <c r="X253" s="1"/>
      <c r="Y253" s="1"/>
      <c r="Z253" s="1"/>
      <c r="AA253" s="1"/>
      <c r="AB253" s="1"/>
    </row>
    <row r="254" spans="1:28" s="4" customFormat="1" ht="20.149999999999999" customHeight="1" x14ac:dyDescent="0.35">
      <c r="A254" s="1"/>
      <c r="B254" s="39"/>
      <c r="C254" s="13"/>
      <c r="D254" s="13"/>
      <c r="F254" s="43"/>
      <c r="G254" s="13"/>
      <c r="H254" s="13"/>
      <c r="I254" s="8"/>
      <c r="J254" s="39"/>
      <c r="K254" s="6"/>
      <c r="L254" s="6"/>
      <c r="M254" s="133"/>
      <c r="N254" s="10"/>
      <c r="O254" s="13"/>
      <c r="Q254" s="8"/>
      <c r="R254" s="155"/>
      <c r="S254" s="47"/>
      <c r="T254" s="1"/>
      <c r="U254" s="1"/>
      <c r="V254" s="5"/>
      <c r="W254" s="1"/>
      <c r="X254" s="1"/>
      <c r="Y254" s="1"/>
      <c r="Z254" s="1"/>
      <c r="AA254" s="1"/>
      <c r="AB254" s="1"/>
    </row>
    <row r="255" spans="1:28" s="4" customFormat="1" ht="20.149999999999999" customHeight="1" x14ac:dyDescent="0.35">
      <c r="A255" s="1"/>
      <c r="B255" s="39"/>
      <c r="C255" s="13"/>
      <c r="D255" s="13"/>
      <c r="F255" s="43"/>
      <c r="G255" s="13"/>
      <c r="H255" s="13"/>
      <c r="I255" s="8"/>
      <c r="J255" s="39"/>
      <c r="K255" s="6"/>
      <c r="L255" s="6"/>
      <c r="M255" s="133"/>
      <c r="N255" s="10"/>
      <c r="O255" s="13"/>
      <c r="Q255" s="8"/>
      <c r="R255" s="155"/>
      <c r="S255" s="47"/>
      <c r="T255" s="1"/>
      <c r="U255" s="1"/>
      <c r="V255" s="5"/>
      <c r="W255" s="1"/>
      <c r="X255" s="1"/>
      <c r="Y255" s="1"/>
      <c r="Z255" s="1"/>
      <c r="AA255" s="1"/>
      <c r="AB255" s="1"/>
    </row>
    <row r="256" spans="1:28" s="4" customFormat="1" ht="20.149999999999999" customHeight="1" x14ac:dyDescent="0.35">
      <c r="A256" s="1"/>
      <c r="B256" s="39"/>
      <c r="C256" s="13"/>
      <c r="D256" s="13"/>
      <c r="F256" s="43"/>
      <c r="G256" s="13"/>
      <c r="H256" s="13"/>
      <c r="I256" s="8"/>
      <c r="J256" s="39"/>
      <c r="K256" s="6"/>
      <c r="L256" s="6"/>
      <c r="M256" s="133"/>
      <c r="N256" s="10"/>
      <c r="O256" s="13"/>
      <c r="Q256" s="8"/>
      <c r="R256" s="155"/>
      <c r="S256" s="47"/>
      <c r="T256" s="1"/>
      <c r="U256" s="1"/>
      <c r="V256" s="5"/>
      <c r="W256" s="1"/>
      <c r="X256" s="1"/>
      <c r="Y256" s="1"/>
      <c r="Z256" s="1"/>
      <c r="AA256" s="1"/>
      <c r="AB256" s="1"/>
    </row>
    <row r="257" spans="1:28" s="4" customFormat="1" ht="20.149999999999999" customHeight="1" x14ac:dyDescent="0.35">
      <c r="A257" s="1"/>
      <c r="B257" s="39"/>
      <c r="C257" s="13"/>
      <c r="D257" s="13"/>
      <c r="F257" s="43"/>
      <c r="G257" s="13"/>
      <c r="H257" s="13"/>
      <c r="I257" s="8"/>
      <c r="J257" s="39"/>
      <c r="K257" s="6"/>
      <c r="L257" s="6"/>
      <c r="M257" s="133"/>
      <c r="N257" s="10"/>
      <c r="O257" s="13"/>
      <c r="Q257" s="8"/>
      <c r="R257" s="155"/>
      <c r="S257" s="47"/>
      <c r="T257" s="1"/>
      <c r="U257" s="1"/>
      <c r="V257" s="5"/>
      <c r="W257" s="1"/>
      <c r="X257" s="1"/>
      <c r="Y257" s="1"/>
      <c r="Z257" s="1"/>
      <c r="AA257" s="1"/>
      <c r="AB257" s="1"/>
    </row>
    <row r="258" spans="1:28" s="4" customFormat="1" ht="20.149999999999999" customHeight="1" x14ac:dyDescent="0.35">
      <c r="A258" s="1"/>
      <c r="B258" s="39"/>
      <c r="C258" s="13"/>
      <c r="D258" s="13"/>
      <c r="F258" s="43"/>
      <c r="G258" s="13"/>
      <c r="H258" s="13"/>
      <c r="I258" s="8"/>
      <c r="J258" s="39"/>
      <c r="K258" s="6"/>
      <c r="L258" s="6"/>
      <c r="M258" s="133"/>
      <c r="N258" s="10"/>
      <c r="O258" s="13"/>
      <c r="Q258" s="8"/>
      <c r="R258" s="155"/>
      <c r="S258" s="47"/>
      <c r="T258" s="1"/>
      <c r="U258" s="1"/>
      <c r="V258" s="5"/>
      <c r="W258" s="1"/>
      <c r="X258" s="1"/>
      <c r="Y258" s="1"/>
      <c r="Z258" s="1"/>
      <c r="AA258" s="1"/>
      <c r="AB258" s="1"/>
    </row>
    <row r="259" spans="1:28" s="4" customFormat="1" ht="20.149999999999999" customHeight="1" x14ac:dyDescent="0.35">
      <c r="A259" s="1"/>
      <c r="B259" s="39"/>
      <c r="C259" s="13"/>
      <c r="D259" s="13"/>
      <c r="F259" s="43"/>
      <c r="G259" s="13"/>
      <c r="H259" s="13"/>
      <c r="I259" s="8"/>
      <c r="J259" s="39"/>
      <c r="K259" s="6"/>
      <c r="L259" s="6"/>
      <c r="M259" s="133"/>
      <c r="N259" s="10"/>
      <c r="O259" s="13"/>
      <c r="Q259" s="8"/>
      <c r="R259" s="155"/>
      <c r="S259" s="47"/>
      <c r="T259" s="1"/>
      <c r="U259" s="1"/>
      <c r="V259" s="5"/>
      <c r="W259" s="1"/>
      <c r="X259" s="1"/>
      <c r="Y259" s="1"/>
      <c r="Z259" s="1"/>
      <c r="AA259" s="1"/>
      <c r="AB259" s="1"/>
    </row>
    <row r="260" spans="1:28" s="4" customFormat="1" ht="20.149999999999999" customHeight="1" x14ac:dyDescent="0.35">
      <c r="A260" s="1"/>
      <c r="B260" s="39"/>
      <c r="C260" s="13"/>
      <c r="D260" s="13"/>
      <c r="F260" s="43"/>
      <c r="G260" s="13"/>
      <c r="H260" s="13"/>
      <c r="I260" s="8"/>
      <c r="J260" s="39"/>
      <c r="K260" s="6"/>
      <c r="L260" s="6"/>
      <c r="M260" s="133"/>
      <c r="N260" s="10"/>
      <c r="O260" s="13"/>
      <c r="Q260" s="8"/>
      <c r="R260" s="155"/>
      <c r="S260" s="47"/>
      <c r="T260" s="1"/>
      <c r="U260" s="1"/>
      <c r="V260" s="5"/>
      <c r="W260" s="1"/>
      <c r="X260" s="1"/>
      <c r="Y260" s="1"/>
      <c r="Z260" s="1"/>
      <c r="AA260" s="1"/>
      <c r="AB260" s="1"/>
    </row>
    <row r="261" spans="1:28" s="4" customFormat="1" ht="20.149999999999999" customHeight="1" x14ac:dyDescent="0.35">
      <c r="A261" s="1"/>
      <c r="B261" s="39"/>
      <c r="C261" s="13"/>
      <c r="D261" s="13"/>
      <c r="F261" s="43"/>
      <c r="G261" s="13"/>
      <c r="H261" s="13"/>
      <c r="I261" s="8"/>
      <c r="J261" s="39"/>
      <c r="K261" s="6"/>
      <c r="L261" s="6"/>
      <c r="M261" s="133"/>
      <c r="N261" s="10"/>
      <c r="O261" s="13"/>
      <c r="Q261" s="8"/>
      <c r="R261" s="155"/>
      <c r="S261" s="47"/>
      <c r="T261" s="1"/>
      <c r="U261" s="1"/>
      <c r="V261" s="5"/>
      <c r="W261" s="1"/>
      <c r="X261" s="1"/>
      <c r="Y261" s="1"/>
      <c r="Z261" s="1"/>
      <c r="AA261" s="1"/>
      <c r="AB261" s="1"/>
    </row>
    <row r="262" spans="1:28" s="4" customFormat="1" ht="20.149999999999999" customHeight="1" x14ac:dyDescent="0.35">
      <c r="A262" s="1"/>
      <c r="B262" s="39"/>
      <c r="C262" s="13"/>
      <c r="D262" s="13"/>
      <c r="F262" s="43"/>
      <c r="G262" s="13"/>
      <c r="H262" s="13"/>
      <c r="I262" s="8"/>
      <c r="J262" s="39"/>
      <c r="K262" s="6"/>
      <c r="L262" s="6"/>
      <c r="M262" s="133"/>
      <c r="N262" s="10"/>
      <c r="O262" s="13"/>
      <c r="Q262" s="8"/>
      <c r="R262" s="155"/>
      <c r="S262" s="47"/>
      <c r="T262" s="1"/>
      <c r="U262" s="1"/>
      <c r="V262" s="5"/>
      <c r="W262" s="1"/>
      <c r="X262" s="1"/>
      <c r="Y262" s="1"/>
      <c r="Z262" s="1"/>
      <c r="AA262" s="1"/>
      <c r="AB262" s="1"/>
    </row>
    <row r="263" spans="1:28" s="4" customFormat="1" ht="20.149999999999999" customHeight="1" x14ac:dyDescent="0.35">
      <c r="A263" s="1"/>
      <c r="B263" s="39"/>
      <c r="C263" s="13"/>
      <c r="D263" s="13"/>
      <c r="F263" s="43"/>
      <c r="G263" s="13"/>
      <c r="H263" s="13"/>
      <c r="I263" s="8"/>
      <c r="J263" s="39"/>
      <c r="K263" s="6"/>
      <c r="L263" s="6"/>
      <c r="M263" s="133"/>
      <c r="N263" s="10"/>
      <c r="O263" s="13"/>
      <c r="Q263" s="8"/>
      <c r="R263" s="155"/>
      <c r="S263" s="47"/>
      <c r="T263" s="1"/>
      <c r="U263" s="1"/>
      <c r="V263" s="5"/>
      <c r="W263" s="1"/>
      <c r="X263" s="1"/>
      <c r="Y263" s="1"/>
      <c r="Z263" s="1"/>
      <c r="AA263" s="1"/>
      <c r="AB263" s="1"/>
    </row>
    <row r="264" spans="1:28" s="4" customFormat="1" ht="20.149999999999999" customHeight="1" x14ac:dyDescent="0.35">
      <c r="A264" s="1"/>
      <c r="B264" s="39"/>
      <c r="C264" s="13"/>
      <c r="D264" s="13"/>
      <c r="F264" s="43"/>
      <c r="G264" s="13"/>
      <c r="H264" s="13"/>
      <c r="I264" s="8"/>
      <c r="J264" s="39"/>
      <c r="K264" s="6"/>
      <c r="L264" s="6"/>
      <c r="M264" s="133"/>
      <c r="N264" s="10"/>
      <c r="O264" s="13"/>
      <c r="Q264" s="8"/>
      <c r="R264" s="155"/>
      <c r="S264" s="47"/>
      <c r="T264" s="1"/>
      <c r="U264" s="1"/>
      <c r="V264" s="5"/>
      <c r="W264" s="1"/>
      <c r="X264" s="1"/>
      <c r="Y264" s="1"/>
      <c r="Z264" s="1"/>
      <c r="AA264" s="1"/>
      <c r="AB264" s="1"/>
    </row>
    <row r="265" spans="1:28" s="4" customFormat="1" ht="20.149999999999999" customHeight="1" x14ac:dyDescent="0.35">
      <c r="A265" s="1"/>
      <c r="B265" s="39"/>
      <c r="C265" s="13"/>
      <c r="D265" s="13"/>
      <c r="F265" s="43"/>
      <c r="G265" s="13"/>
      <c r="H265" s="13"/>
      <c r="I265" s="8"/>
      <c r="J265" s="39"/>
      <c r="K265" s="6"/>
      <c r="L265" s="6"/>
      <c r="M265" s="133"/>
      <c r="N265" s="10"/>
      <c r="O265" s="13"/>
      <c r="Q265" s="8"/>
      <c r="R265" s="155"/>
      <c r="S265" s="47"/>
      <c r="T265" s="1"/>
      <c r="U265" s="1"/>
      <c r="V265" s="5"/>
      <c r="W265" s="1"/>
      <c r="X265" s="1"/>
      <c r="Y265" s="1"/>
      <c r="Z265" s="1"/>
      <c r="AA265" s="1"/>
      <c r="AB265" s="1"/>
    </row>
    <row r="266" spans="1:28" s="4" customFormat="1" ht="20.149999999999999" customHeight="1" x14ac:dyDescent="0.35">
      <c r="A266" s="1"/>
      <c r="B266" s="39"/>
      <c r="C266" s="13"/>
      <c r="D266" s="13"/>
      <c r="F266" s="43"/>
      <c r="G266" s="13"/>
      <c r="H266" s="13"/>
      <c r="I266" s="8"/>
      <c r="J266" s="39"/>
      <c r="K266" s="6"/>
      <c r="L266" s="6"/>
      <c r="M266" s="133"/>
      <c r="N266" s="10"/>
      <c r="O266" s="13"/>
      <c r="Q266" s="8"/>
      <c r="R266" s="155"/>
      <c r="S266" s="47"/>
      <c r="T266" s="1"/>
      <c r="U266" s="1"/>
      <c r="V266" s="5"/>
      <c r="W266" s="1"/>
      <c r="X266" s="1"/>
      <c r="Y266" s="1"/>
      <c r="Z266" s="1"/>
      <c r="AA266" s="1"/>
      <c r="AB266" s="1"/>
    </row>
    <row r="267" spans="1:28" s="4" customFormat="1" ht="20.149999999999999" customHeight="1" x14ac:dyDescent="0.35">
      <c r="A267" s="1"/>
      <c r="B267" s="39"/>
      <c r="C267" s="13"/>
      <c r="D267" s="13"/>
      <c r="F267" s="43"/>
      <c r="G267" s="13"/>
      <c r="H267" s="13"/>
      <c r="I267" s="8"/>
      <c r="J267" s="39"/>
      <c r="K267" s="6"/>
      <c r="L267" s="6"/>
      <c r="M267" s="133"/>
      <c r="N267" s="10"/>
      <c r="O267" s="13"/>
      <c r="Q267" s="8"/>
      <c r="R267" s="155"/>
      <c r="S267" s="47"/>
      <c r="T267" s="1"/>
      <c r="U267" s="1"/>
      <c r="V267" s="5"/>
      <c r="W267" s="1"/>
      <c r="X267" s="1"/>
      <c r="Y267" s="1"/>
      <c r="Z267" s="1"/>
      <c r="AA267" s="1"/>
      <c r="AB267" s="1"/>
    </row>
    <row r="268" spans="1:28" s="4" customFormat="1" ht="20.149999999999999" customHeight="1" x14ac:dyDescent="0.35">
      <c r="A268" s="1"/>
      <c r="B268" s="39"/>
      <c r="C268" s="13"/>
      <c r="D268" s="13"/>
      <c r="F268" s="43"/>
      <c r="G268" s="13"/>
      <c r="H268" s="13"/>
      <c r="I268" s="8"/>
      <c r="J268" s="39"/>
      <c r="K268" s="6"/>
      <c r="L268" s="6"/>
      <c r="M268" s="133"/>
      <c r="N268" s="10"/>
      <c r="O268" s="13"/>
      <c r="Q268" s="8"/>
      <c r="R268" s="155"/>
      <c r="S268" s="47"/>
      <c r="T268" s="1"/>
      <c r="U268" s="1"/>
      <c r="V268" s="5"/>
      <c r="W268" s="1"/>
      <c r="X268" s="1"/>
      <c r="Y268" s="1"/>
      <c r="Z268" s="1"/>
      <c r="AA268" s="1"/>
      <c r="AB268" s="1"/>
    </row>
    <row r="269" spans="1:28" s="4" customFormat="1" ht="20.149999999999999" customHeight="1" x14ac:dyDescent="0.35">
      <c r="A269" s="1"/>
      <c r="B269" s="39"/>
      <c r="C269" s="13"/>
      <c r="D269" s="13"/>
      <c r="F269" s="43"/>
      <c r="G269" s="13"/>
      <c r="H269" s="13"/>
      <c r="I269" s="8"/>
      <c r="J269" s="39"/>
      <c r="K269" s="6"/>
      <c r="L269" s="6"/>
      <c r="M269" s="133"/>
      <c r="N269" s="10"/>
      <c r="O269" s="13"/>
      <c r="Q269" s="8"/>
      <c r="R269" s="155"/>
      <c r="S269" s="47"/>
      <c r="T269" s="1"/>
      <c r="U269" s="1"/>
      <c r="V269" s="5"/>
      <c r="W269" s="1"/>
      <c r="X269" s="1"/>
      <c r="Y269" s="1"/>
      <c r="Z269" s="1"/>
      <c r="AA269" s="1"/>
      <c r="AB269" s="1"/>
    </row>
    <row r="270" spans="1:28" s="4" customFormat="1" ht="20.149999999999999" customHeight="1" x14ac:dyDescent="0.35">
      <c r="A270" s="1"/>
      <c r="B270" s="39"/>
      <c r="C270" s="13"/>
      <c r="D270" s="13"/>
      <c r="F270" s="43"/>
      <c r="G270" s="13"/>
      <c r="H270" s="13"/>
      <c r="I270" s="8"/>
      <c r="J270" s="39"/>
      <c r="K270" s="6"/>
      <c r="L270" s="6"/>
      <c r="M270" s="133"/>
      <c r="N270" s="10"/>
      <c r="O270" s="13"/>
      <c r="Q270" s="8"/>
      <c r="R270" s="155"/>
      <c r="S270" s="47"/>
      <c r="T270" s="1"/>
      <c r="U270" s="1"/>
      <c r="V270" s="5"/>
      <c r="W270" s="1"/>
      <c r="X270" s="1"/>
      <c r="Y270" s="1"/>
      <c r="Z270" s="1"/>
      <c r="AA270" s="1"/>
      <c r="AB270" s="1"/>
    </row>
    <row r="271" spans="1:28" s="4" customFormat="1" ht="20.149999999999999" customHeight="1" x14ac:dyDescent="0.35">
      <c r="A271" s="1"/>
      <c r="B271" s="39"/>
      <c r="C271" s="13"/>
      <c r="D271" s="13"/>
      <c r="F271" s="43"/>
      <c r="G271" s="13"/>
      <c r="H271" s="13"/>
      <c r="I271" s="8"/>
      <c r="J271" s="39"/>
      <c r="K271" s="6"/>
      <c r="L271" s="6"/>
      <c r="M271" s="133"/>
      <c r="N271" s="10"/>
      <c r="O271" s="13"/>
      <c r="Q271" s="8"/>
      <c r="R271" s="155"/>
      <c r="S271" s="47"/>
      <c r="T271" s="1"/>
      <c r="U271" s="1"/>
      <c r="V271" s="5"/>
      <c r="W271" s="1"/>
      <c r="X271" s="1"/>
      <c r="Y271" s="1"/>
      <c r="Z271" s="1"/>
      <c r="AA271" s="1"/>
      <c r="AB271" s="1"/>
    </row>
    <row r="272" spans="1:28" s="4" customFormat="1" ht="20.149999999999999" customHeight="1" x14ac:dyDescent="0.35">
      <c r="A272" s="1"/>
      <c r="B272" s="39"/>
      <c r="C272" s="13"/>
      <c r="D272" s="13"/>
      <c r="F272" s="43"/>
      <c r="G272" s="13"/>
      <c r="H272" s="13"/>
      <c r="I272" s="8"/>
      <c r="J272" s="39"/>
      <c r="K272" s="6"/>
      <c r="L272" s="6"/>
      <c r="M272" s="133"/>
      <c r="N272" s="10"/>
      <c r="O272" s="13"/>
      <c r="Q272" s="8"/>
      <c r="R272" s="155"/>
      <c r="S272" s="47"/>
      <c r="T272" s="1"/>
      <c r="U272" s="1"/>
      <c r="V272" s="5"/>
      <c r="W272" s="1"/>
      <c r="X272" s="1"/>
      <c r="Y272" s="1"/>
      <c r="Z272" s="1"/>
      <c r="AA272" s="1"/>
      <c r="AB272" s="1"/>
    </row>
    <row r="273" spans="1:28" s="4" customFormat="1" ht="20.149999999999999" customHeight="1" x14ac:dyDescent="0.35">
      <c r="A273" s="1"/>
      <c r="B273" s="39"/>
      <c r="C273" s="13"/>
      <c r="D273" s="13"/>
      <c r="F273" s="43"/>
      <c r="G273" s="13"/>
      <c r="H273" s="13"/>
      <c r="I273" s="8"/>
      <c r="J273" s="39"/>
      <c r="K273" s="6"/>
      <c r="L273" s="6"/>
      <c r="M273" s="133"/>
      <c r="N273" s="10"/>
      <c r="O273" s="13"/>
      <c r="Q273" s="8"/>
      <c r="R273" s="155"/>
      <c r="S273" s="47"/>
      <c r="T273" s="1"/>
      <c r="U273" s="1"/>
      <c r="V273" s="5"/>
      <c r="W273" s="1"/>
      <c r="X273" s="1"/>
      <c r="Y273" s="1"/>
      <c r="Z273" s="1"/>
      <c r="AA273" s="1"/>
      <c r="AB273" s="1"/>
    </row>
    <row r="274" spans="1:28" s="4" customFormat="1" ht="20.149999999999999" customHeight="1" x14ac:dyDescent="0.35">
      <c r="A274" s="1"/>
      <c r="B274" s="39"/>
      <c r="C274" s="13"/>
      <c r="D274" s="13"/>
      <c r="F274" s="43"/>
      <c r="G274" s="13"/>
      <c r="H274" s="13"/>
      <c r="I274" s="8"/>
      <c r="J274" s="39"/>
      <c r="K274" s="6"/>
      <c r="L274" s="6"/>
      <c r="M274" s="133"/>
      <c r="N274" s="10"/>
      <c r="O274" s="13"/>
      <c r="Q274" s="8"/>
      <c r="R274" s="155"/>
      <c r="S274" s="47"/>
      <c r="T274" s="1"/>
      <c r="U274" s="1"/>
      <c r="V274" s="5"/>
      <c r="W274" s="1"/>
      <c r="X274" s="1"/>
      <c r="Y274" s="1"/>
      <c r="Z274" s="1"/>
      <c r="AA274" s="1"/>
      <c r="AB274" s="1"/>
    </row>
    <row r="275" spans="1:28" s="4" customFormat="1" ht="20.149999999999999" customHeight="1" x14ac:dyDescent="0.35">
      <c r="A275" s="1"/>
      <c r="B275" s="39"/>
      <c r="C275" s="13"/>
      <c r="D275" s="13"/>
      <c r="F275" s="43"/>
      <c r="G275" s="13"/>
      <c r="H275" s="13"/>
      <c r="I275" s="8"/>
      <c r="J275" s="39"/>
      <c r="K275" s="6"/>
      <c r="L275" s="6"/>
      <c r="M275" s="133"/>
      <c r="N275" s="10"/>
      <c r="O275" s="13"/>
      <c r="Q275" s="8"/>
      <c r="R275" s="155"/>
      <c r="S275" s="47"/>
      <c r="T275" s="1"/>
      <c r="U275" s="1"/>
      <c r="V275" s="5"/>
      <c r="W275" s="1"/>
      <c r="X275" s="1"/>
      <c r="Y275" s="1"/>
      <c r="Z275" s="1"/>
      <c r="AA275" s="1"/>
      <c r="AB275" s="1"/>
    </row>
    <row r="276" spans="1:28" s="4" customFormat="1" ht="20.149999999999999" customHeight="1" x14ac:dyDescent="0.35">
      <c r="A276" s="1"/>
      <c r="B276" s="39"/>
      <c r="C276" s="13"/>
      <c r="D276" s="13"/>
      <c r="F276" s="43"/>
      <c r="G276" s="13"/>
      <c r="H276" s="13"/>
      <c r="I276" s="8"/>
      <c r="J276" s="39"/>
      <c r="K276" s="6"/>
      <c r="L276" s="6"/>
      <c r="M276" s="133"/>
      <c r="N276" s="10"/>
      <c r="O276" s="13"/>
      <c r="Q276" s="8"/>
      <c r="R276" s="155"/>
      <c r="S276" s="47"/>
      <c r="T276" s="1"/>
      <c r="U276" s="1"/>
      <c r="V276" s="5"/>
      <c r="W276" s="1"/>
      <c r="X276" s="1"/>
      <c r="Y276" s="1"/>
      <c r="Z276" s="1"/>
      <c r="AA276" s="1"/>
      <c r="AB276" s="1"/>
    </row>
    <row r="277" spans="1:28" s="4" customFormat="1" ht="20.149999999999999" customHeight="1" x14ac:dyDescent="0.35">
      <c r="A277" s="1"/>
      <c r="B277" s="39"/>
      <c r="C277" s="13"/>
      <c r="D277" s="13"/>
      <c r="F277" s="43"/>
      <c r="G277" s="13"/>
      <c r="H277" s="13"/>
      <c r="I277" s="8"/>
      <c r="J277" s="39"/>
      <c r="K277" s="6"/>
      <c r="L277" s="6"/>
      <c r="M277" s="133"/>
      <c r="N277" s="10"/>
      <c r="O277" s="13"/>
      <c r="Q277" s="8"/>
      <c r="R277" s="155"/>
      <c r="S277" s="47"/>
      <c r="T277" s="1"/>
      <c r="U277" s="1"/>
      <c r="V277" s="5"/>
      <c r="W277" s="1"/>
      <c r="X277" s="1"/>
      <c r="Y277" s="1"/>
      <c r="Z277" s="1"/>
      <c r="AA277" s="1"/>
      <c r="AB277" s="1"/>
    </row>
    <row r="278" spans="1:28" s="4" customFormat="1" ht="20.149999999999999" customHeight="1" x14ac:dyDescent="0.35">
      <c r="A278" s="1"/>
      <c r="B278" s="39"/>
      <c r="C278" s="13"/>
      <c r="D278" s="13"/>
      <c r="F278" s="43"/>
      <c r="G278" s="13"/>
      <c r="H278" s="13"/>
      <c r="I278" s="8"/>
      <c r="J278" s="39"/>
      <c r="K278" s="6"/>
      <c r="L278" s="6"/>
      <c r="M278" s="133"/>
      <c r="N278" s="10"/>
      <c r="O278" s="13"/>
      <c r="Q278" s="8"/>
      <c r="R278" s="155"/>
      <c r="S278" s="47"/>
      <c r="T278" s="1"/>
      <c r="U278" s="1"/>
      <c r="V278" s="5"/>
      <c r="W278" s="1"/>
      <c r="X278" s="1"/>
      <c r="Y278" s="1"/>
      <c r="Z278" s="1"/>
      <c r="AA278" s="1"/>
      <c r="AB278" s="1"/>
    </row>
    <row r="279" spans="1:28" s="4" customFormat="1" ht="20.149999999999999" customHeight="1" x14ac:dyDescent="0.35">
      <c r="A279" s="1"/>
      <c r="B279" s="39"/>
      <c r="C279" s="13"/>
      <c r="D279" s="13"/>
      <c r="F279" s="43"/>
      <c r="G279" s="13"/>
      <c r="H279" s="13"/>
      <c r="I279" s="8"/>
      <c r="J279" s="39"/>
      <c r="K279" s="6"/>
      <c r="L279" s="6"/>
      <c r="M279" s="133"/>
      <c r="N279" s="10"/>
      <c r="O279" s="13"/>
      <c r="Q279" s="8"/>
      <c r="R279" s="155"/>
      <c r="S279" s="47"/>
      <c r="T279" s="1"/>
      <c r="U279" s="1"/>
      <c r="V279" s="5"/>
      <c r="W279" s="1"/>
      <c r="X279" s="1"/>
      <c r="Y279" s="1"/>
      <c r="Z279" s="1"/>
      <c r="AA279" s="1"/>
      <c r="AB279" s="1"/>
    </row>
    <row r="280" spans="1:28" s="4" customFormat="1" ht="20.149999999999999" customHeight="1" x14ac:dyDescent="0.35">
      <c r="A280" s="1"/>
      <c r="B280" s="39"/>
      <c r="C280" s="13"/>
      <c r="D280" s="13"/>
      <c r="F280" s="43"/>
      <c r="G280" s="13"/>
      <c r="H280" s="13"/>
      <c r="I280" s="8"/>
      <c r="J280" s="39"/>
      <c r="K280" s="6"/>
      <c r="L280" s="6"/>
      <c r="M280" s="133"/>
      <c r="N280" s="10"/>
      <c r="O280" s="13"/>
      <c r="Q280" s="8"/>
      <c r="R280" s="155"/>
      <c r="S280" s="47"/>
      <c r="T280" s="1"/>
      <c r="U280" s="1"/>
      <c r="V280" s="5"/>
      <c r="W280" s="1"/>
      <c r="X280" s="1"/>
      <c r="Y280" s="1"/>
      <c r="Z280" s="1"/>
      <c r="AA280" s="1"/>
      <c r="AB280" s="1"/>
    </row>
    <row r="281" spans="1:28" s="4" customFormat="1" ht="20.149999999999999" customHeight="1" x14ac:dyDescent="0.35">
      <c r="A281" s="1"/>
      <c r="B281" s="39"/>
      <c r="C281" s="13"/>
      <c r="D281" s="13"/>
      <c r="F281" s="43"/>
      <c r="G281" s="13"/>
      <c r="H281" s="13"/>
      <c r="I281" s="8"/>
      <c r="J281" s="39"/>
      <c r="K281" s="6"/>
      <c r="L281" s="6"/>
      <c r="M281" s="133"/>
      <c r="N281" s="10"/>
      <c r="O281" s="13"/>
      <c r="Q281" s="8"/>
      <c r="R281" s="155"/>
      <c r="S281" s="47"/>
      <c r="T281" s="1"/>
      <c r="U281" s="1"/>
      <c r="V281" s="5"/>
      <c r="W281" s="1"/>
      <c r="X281" s="1"/>
      <c r="Y281" s="1"/>
      <c r="Z281" s="1"/>
      <c r="AA281" s="1"/>
      <c r="AB281" s="1"/>
    </row>
    <row r="282" spans="1:28" s="4" customFormat="1" ht="20.149999999999999" customHeight="1" x14ac:dyDescent="0.35">
      <c r="A282" s="1"/>
      <c r="B282" s="39"/>
      <c r="C282" s="13"/>
      <c r="D282" s="13"/>
      <c r="F282" s="43"/>
      <c r="G282" s="13"/>
      <c r="H282" s="13"/>
      <c r="I282" s="8"/>
      <c r="J282" s="39"/>
      <c r="K282" s="6"/>
      <c r="L282" s="6"/>
      <c r="M282" s="133"/>
      <c r="N282" s="10"/>
      <c r="O282" s="13"/>
      <c r="Q282" s="8"/>
      <c r="R282" s="155"/>
      <c r="S282" s="47"/>
      <c r="T282" s="1"/>
      <c r="U282" s="1"/>
      <c r="V282" s="5"/>
      <c r="W282" s="1"/>
      <c r="X282" s="1"/>
      <c r="Y282" s="1"/>
      <c r="Z282" s="1"/>
      <c r="AA282" s="1"/>
      <c r="AB282" s="1"/>
    </row>
    <row r="283" spans="1:28" s="4" customFormat="1" ht="20.149999999999999" customHeight="1" x14ac:dyDescent="0.35">
      <c r="A283" s="1"/>
      <c r="B283" s="39"/>
      <c r="C283" s="13"/>
      <c r="D283" s="13"/>
      <c r="F283" s="43"/>
      <c r="G283" s="13"/>
      <c r="H283" s="13"/>
      <c r="I283" s="8"/>
      <c r="J283" s="39"/>
      <c r="K283" s="6"/>
      <c r="L283" s="6"/>
      <c r="M283" s="133"/>
      <c r="N283" s="10"/>
      <c r="O283" s="13"/>
      <c r="Q283" s="8"/>
      <c r="R283" s="155"/>
      <c r="S283" s="47"/>
      <c r="T283" s="1"/>
      <c r="U283" s="1"/>
      <c r="V283" s="5"/>
      <c r="W283" s="1"/>
      <c r="X283" s="1"/>
      <c r="Y283" s="1"/>
      <c r="Z283" s="1"/>
      <c r="AA283" s="1"/>
      <c r="AB283" s="1"/>
    </row>
    <row r="284" spans="1:28" s="4" customFormat="1" ht="20.149999999999999" customHeight="1" x14ac:dyDescent="0.35">
      <c r="A284" s="1"/>
      <c r="B284" s="39"/>
      <c r="C284" s="13"/>
      <c r="D284" s="13"/>
      <c r="F284" s="43"/>
      <c r="G284" s="13"/>
      <c r="H284" s="13"/>
      <c r="I284" s="8"/>
      <c r="J284" s="39"/>
      <c r="K284" s="6"/>
      <c r="L284" s="6"/>
      <c r="M284" s="133"/>
      <c r="N284" s="10"/>
      <c r="O284" s="13"/>
      <c r="Q284" s="8"/>
      <c r="R284" s="155"/>
      <c r="S284" s="47"/>
      <c r="T284" s="1"/>
      <c r="U284" s="1"/>
      <c r="V284" s="5"/>
      <c r="W284" s="1"/>
      <c r="X284" s="1"/>
      <c r="Y284" s="1"/>
      <c r="Z284" s="1"/>
      <c r="AA284" s="1"/>
      <c r="AB284" s="1"/>
    </row>
    <row r="285" spans="1:28" s="4" customFormat="1" ht="20.149999999999999" customHeight="1" x14ac:dyDescent="0.35">
      <c r="A285" s="1"/>
      <c r="B285" s="39"/>
      <c r="C285" s="13"/>
      <c r="D285" s="13"/>
      <c r="F285" s="43"/>
      <c r="G285" s="13"/>
      <c r="H285" s="13"/>
      <c r="I285" s="8"/>
      <c r="J285" s="39"/>
      <c r="K285" s="6"/>
      <c r="L285" s="6"/>
      <c r="M285" s="133"/>
      <c r="N285" s="10"/>
      <c r="O285" s="13"/>
      <c r="Q285" s="8"/>
      <c r="R285" s="155"/>
      <c r="S285" s="47"/>
      <c r="T285" s="1"/>
      <c r="U285" s="1"/>
      <c r="V285" s="5"/>
      <c r="W285" s="1"/>
      <c r="X285" s="1"/>
      <c r="Y285" s="1"/>
      <c r="Z285" s="1"/>
      <c r="AA285" s="1"/>
      <c r="AB285" s="1"/>
    </row>
    <row r="286" spans="1:28" s="4" customFormat="1" ht="20.149999999999999" customHeight="1" x14ac:dyDescent="0.35">
      <c r="A286" s="1"/>
      <c r="B286" s="39"/>
      <c r="C286" s="13"/>
      <c r="D286" s="13"/>
      <c r="F286" s="43"/>
      <c r="G286" s="13"/>
      <c r="H286" s="13"/>
      <c r="I286" s="8"/>
      <c r="J286" s="39"/>
      <c r="K286" s="6"/>
      <c r="L286" s="6"/>
      <c r="M286" s="133"/>
      <c r="N286" s="10"/>
      <c r="O286" s="13"/>
      <c r="Q286" s="8"/>
      <c r="R286" s="155"/>
      <c r="S286" s="47"/>
      <c r="T286" s="1"/>
      <c r="U286" s="1"/>
      <c r="V286" s="5"/>
      <c r="W286" s="1"/>
      <c r="X286" s="1"/>
      <c r="Y286" s="1"/>
      <c r="Z286" s="1"/>
      <c r="AA286" s="1"/>
      <c r="AB286" s="1"/>
    </row>
    <row r="287" spans="1:28" s="4" customFormat="1" ht="20.149999999999999" customHeight="1" x14ac:dyDescent="0.35">
      <c r="A287" s="1"/>
      <c r="B287" s="39"/>
      <c r="C287" s="13"/>
      <c r="D287" s="13"/>
      <c r="F287" s="43"/>
      <c r="G287" s="13"/>
      <c r="H287" s="13"/>
      <c r="I287" s="8"/>
      <c r="J287" s="39"/>
      <c r="K287" s="6"/>
      <c r="L287" s="6"/>
      <c r="M287" s="133"/>
      <c r="N287" s="10"/>
      <c r="O287" s="13"/>
      <c r="Q287" s="8"/>
      <c r="R287" s="155"/>
      <c r="S287" s="47"/>
      <c r="T287" s="1"/>
      <c r="U287" s="1"/>
      <c r="V287" s="5"/>
      <c r="W287" s="1"/>
      <c r="X287" s="1"/>
      <c r="Y287" s="1"/>
      <c r="Z287" s="1"/>
      <c r="AA287" s="1"/>
      <c r="AB287" s="1"/>
    </row>
    <row r="288" spans="1:28" s="4" customFormat="1" ht="20.149999999999999" customHeight="1" x14ac:dyDescent="0.35">
      <c r="A288" s="1"/>
      <c r="B288" s="39"/>
      <c r="C288" s="13"/>
      <c r="D288" s="13"/>
      <c r="F288" s="43"/>
      <c r="G288" s="13"/>
      <c r="H288" s="13"/>
      <c r="I288" s="8"/>
      <c r="J288" s="39"/>
      <c r="K288" s="6"/>
      <c r="L288" s="6"/>
      <c r="M288" s="133"/>
      <c r="N288" s="10"/>
      <c r="O288" s="13"/>
      <c r="Q288" s="8"/>
      <c r="R288" s="155"/>
      <c r="S288" s="47"/>
      <c r="T288" s="1"/>
      <c r="U288" s="1"/>
      <c r="V288" s="5"/>
      <c r="W288" s="1"/>
      <c r="X288" s="1"/>
      <c r="Y288" s="1"/>
      <c r="Z288" s="1"/>
      <c r="AA288" s="1"/>
      <c r="AB288" s="1"/>
    </row>
    <row r="289" spans="1:28" s="4" customFormat="1" ht="20.149999999999999" customHeight="1" x14ac:dyDescent="0.35">
      <c r="A289" s="1"/>
      <c r="B289" s="39"/>
      <c r="C289" s="13"/>
      <c r="D289" s="13"/>
      <c r="F289" s="43"/>
      <c r="G289" s="13"/>
      <c r="H289" s="13"/>
      <c r="I289" s="8"/>
      <c r="J289" s="39"/>
      <c r="K289" s="6"/>
      <c r="L289" s="6"/>
      <c r="M289" s="133"/>
      <c r="N289" s="10"/>
      <c r="O289" s="13"/>
      <c r="Q289" s="8"/>
      <c r="R289" s="155"/>
      <c r="S289" s="47"/>
      <c r="T289" s="1"/>
      <c r="U289" s="1"/>
      <c r="V289" s="5"/>
      <c r="W289" s="1"/>
      <c r="X289" s="1"/>
      <c r="Y289" s="1"/>
      <c r="Z289" s="1"/>
      <c r="AA289" s="1"/>
      <c r="AB289" s="1"/>
    </row>
    <row r="290" spans="1:28" s="4" customFormat="1" ht="20.149999999999999" customHeight="1" x14ac:dyDescent="0.35">
      <c r="A290" s="1"/>
      <c r="B290" s="39"/>
      <c r="C290" s="13"/>
      <c r="D290" s="13"/>
      <c r="F290" s="43"/>
      <c r="G290" s="13"/>
      <c r="H290" s="13"/>
      <c r="I290" s="8"/>
      <c r="J290" s="39"/>
      <c r="K290" s="6"/>
      <c r="L290" s="6"/>
      <c r="M290" s="133"/>
      <c r="N290" s="10"/>
      <c r="O290" s="13"/>
      <c r="Q290" s="8"/>
      <c r="R290" s="155"/>
      <c r="S290" s="47"/>
      <c r="T290" s="1"/>
      <c r="U290" s="1"/>
      <c r="V290" s="5"/>
      <c r="W290" s="1"/>
      <c r="X290" s="1"/>
      <c r="Y290" s="1"/>
      <c r="Z290" s="1"/>
      <c r="AA290" s="1"/>
      <c r="AB290" s="1"/>
    </row>
    <row r="291" spans="1:28" s="4" customFormat="1" ht="20.149999999999999" customHeight="1" x14ac:dyDescent="0.35">
      <c r="A291" s="1"/>
      <c r="B291" s="39"/>
      <c r="C291" s="13"/>
      <c r="D291" s="13"/>
      <c r="F291" s="43"/>
      <c r="G291" s="13"/>
      <c r="H291" s="13"/>
      <c r="I291" s="8"/>
      <c r="J291" s="39"/>
      <c r="K291" s="6"/>
      <c r="L291" s="6"/>
      <c r="M291" s="133"/>
      <c r="N291" s="10"/>
      <c r="O291" s="13"/>
      <c r="Q291" s="8"/>
      <c r="R291" s="155"/>
      <c r="S291" s="47"/>
      <c r="T291" s="1"/>
      <c r="U291" s="1"/>
      <c r="V291" s="5"/>
      <c r="W291" s="1"/>
      <c r="X291" s="1"/>
      <c r="Y291" s="1"/>
      <c r="Z291" s="1"/>
      <c r="AA291" s="1"/>
      <c r="AB291" s="1"/>
    </row>
    <row r="292" spans="1:28" s="4" customFormat="1" ht="20.149999999999999" customHeight="1" x14ac:dyDescent="0.35">
      <c r="A292" s="1"/>
      <c r="B292" s="39"/>
      <c r="C292" s="13"/>
      <c r="D292" s="13"/>
      <c r="F292" s="43"/>
      <c r="G292" s="13"/>
      <c r="H292" s="13"/>
      <c r="I292" s="8"/>
      <c r="J292" s="39"/>
      <c r="K292" s="6"/>
      <c r="L292" s="6"/>
      <c r="M292" s="133"/>
      <c r="N292" s="10"/>
      <c r="O292" s="13"/>
      <c r="Q292" s="8"/>
      <c r="R292" s="155"/>
      <c r="S292" s="47"/>
      <c r="T292" s="1"/>
      <c r="U292" s="1"/>
      <c r="V292" s="5"/>
      <c r="W292" s="1"/>
      <c r="X292" s="1"/>
      <c r="Y292" s="1"/>
      <c r="Z292" s="1"/>
      <c r="AA292" s="1"/>
      <c r="AB292" s="1"/>
    </row>
    <row r="293" spans="1:28" s="4" customFormat="1" ht="20.149999999999999" customHeight="1" x14ac:dyDescent="0.35">
      <c r="A293" s="1"/>
      <c r="B293" s="39"/>
      <c r="C293" s="13"/>
      <c r="D293" s="13"/>
      <c r="F293" s="43"/>
      <c r="G293" s="13"/>
      <c r="H293" s="13"/>
      <c r="I293" s="8"/>
      <c r="J293" s="39"/>
      <c r="K293" s="6"/>
      <c r="L293" s="6"/>
      <c r="M293" s="133"/>
      <c r="N293" s="10"/>
      <c r="O293" s="13"/>
      <c r="Q293" s="8"/>
      <c r="R293" s="155"/>
      <c r="S293" s="47"/>
      <c r="T293" s="1"/>
      <c r="U293" s="1"/>
      <c r="V293" s="5"/>
      <c r="W293" s="1"/>
      <c r="X293" s="1"/>
      <c r="Y293" s="1"/>
      <c r="Z293" s="1"/>
      <c r="AA293" s="1"/>
      <c r="AB293" s="1"/>
    </row>
    <row r="294" spans="1:28" s="4" customFormat="1" ht="20.149999999999999" customHeight="1" x14ac:dyDescent="0.35">
      <c r="A294" s="1"/>
      <c r="B294" s="39"/>
      <c r="C294" s="13"/>
      <c r="D294" s="13"/>
      <c r="F294" s="43"/>
      <c r="G294" s="13"/>
      <c r="H294" s="13"/>
      <c r="I294" s="8"/>
      <c r="J294" s="39"/>
      <c r="K294" s="6"/>
      <c r="L294" s="6"/>
      <c r="M294" s="133"/>
      <c r="N294" s="10"/>
      <c r="O294" s="13"/>
      <c r="Q294" s="8"/>
      <c r="R294" s="155"/>
      <c r="S294" s="47"/>
      <c r="T294" s="1"/>
      <c r="U294" s="1"/>
      <c r="V294" s="5"/>
      <c r="W294" s="1"/>
      <c r="X294" s="1"/>
      <c r="Y294" s="1"/>
      <c r="Z294" s="1"/>
      <c r="AA294" s="1"/>
      <c r="AB294" s="1"/>
    </row>
    <row r="295" spans="1:28" s="4" customFormat="1" ht="20.149999999999999" customHeight="1" x14ac:dyDescent="0.35">
      <c r="A295" s="1"/>
      <c r="B295" s="39"/>
      <c r="C295" s="13"/>
      <c r="D295" s="13"/>
      <c r="F295" s="43"/>
      <c r="G295" s="13"/>
      <c r="H295" s="13"/>
      <c r="I295" s="8"/>
      <c r="J295" s="39"/>
      <c r="K295" s="6"/>
      <c r="L295" s="6"/>
      <c r="M295" s="133"/>
      <c r="N295" s="10"/>
      <c r="O295" s="13"/>
      <c r="Q295" s="8"/>
      <c r="R295" s="155"/>
      <c r="S295" s="47"/>
      <c r="T295" s="1"/>
      <c r="U295" s="1"/>
      <c r="V295" s="5"/>
      <c r="W295" s="1"/>
      <c r="X295" s="1"/>
      <c r="Y295" s="1"/>
      <c r="Z295" s="1"/>
      <c r="AA295" s="1"/>
      <c r="AB295" s="1"/>
    </row>
    <row r="296" spans="1:28" s="4" customFormat="1" ht="20.149999999999999" customHeight="1" x14ac:dyDescent="0.35">
      <c r="A296" s="1"/>
      <c r="B296" s="39"/>
      <c r="C296" s="13"/>
      <c r="D296" s="13"/>
      <c r="F296" s="43"/>
      <c r="G296" s="13"/>
      <c r="H296" s="13"/>
      <c r="I296" s="8"/>
      <c r="J296" s="39"/>
      <c r="K296" s="6"/>
      <c r="L296" s="6"/>
      <c r="M296" s="133"/>
      <c r="N296" s="10"/>
      <c r="O296" s="13"/>
      <c r="Q296" s="8"/>
      <c r="R296" s="155"/>
      <c r="S296" s="47"/>
      <c r="T296" s="1"/>
      <c r="U296" s="1"/>
      <c r="V296" s="5"/>
      <c r="W296" s="1"/>
      <c r="X296" s="1"/>
      <c r="Y296" s="1"/>
      <c r="Z296" s="1"/>
      <c r="AA296" s="1"/>
      <c r="AB296" s="1"/>
    </row>
    <row r="297" spans="1:28" s="4" customFormat="1" ht="20.149999999999999" customHeight="1" x14ac:dyDescent="0.35">
      <c r="A297" s="1"/>
      <c r="B297" s="39"/>
      <c r="C297" s="13"/>
      <c r="D297" s="13"/>
      <c r="F297" s="43"/>
      <c r="G297" s="13"/>
      <c r="H297" s="13"/>
      <c r="I297" s="8"/>
      <c r="J297" s="39"/>
      <c r="K297" s="6"/>
      <c r="L297" s="6"/>
      <c r="M297" s="133"/>
      <c r="N297" s="10"/>
      <c r="O297" s="13"/>
      <c r="Q297" s="8"/>
      <c r="R297" s="155"/>
      <c r="S297" s="47"/>
      <c r="T297" s="1"/>
      <c r="U297" s="1"/>
      <c r="V297" s="5"/>
      <c r="W297" s="1"/>
      <c r="X297" s="1"/>
      <c r="Y297" s="1"/>
      <c r="Z297" s="1"/>
      <c r="AA297" s="1"/>
      <c r="AB297" s="1"/>
    </row>
    <row r="298" spans="1:28" s="4" customFormat="1" ht="20.149999999999999" customHeight="1" x14ac:dyDescent="0.35">
      <c r="A298" s="1"/>
      <c r="B298" s="39"/>
      <c r="C298" s="13"/>
      <c r="D298" s="13"/>
      <c r="F298" s="43"/>
      <c r="G298" s="13"/>
      <c r="H298" s="13"/>
      <c r="I298" s="8"/>
      <c r="J298" s="39"/>
      <c r="K298" s="6"/>
      <c r="L298" s="6"/>
      <c r="M298" s="133"/>
      <c r="N298" s="10"/>
      <c r="O298" s="13"/>
      <c r="Q298" s="8"/>
      <c r="R298" s="155"/>
      <c r="S298" s="47"/>
      <c r="T298" s="1"/>
      <c r="U298" s="1"/>
      <c r="V298" s="5"/>
      <c r="W298" s="1"/>
      <c r="X298" s="1"/>
      <c r="Y298" s="1"/>
      <c r="Z298" s="1"/>
      <c r="AA298" s="1"/>
      <c r="AB298" s="1"/>
    </row>
    <row r="299" spans="1:28" s="4" customFormat="1" ht="20.149999999999999" customHeight="1" x14ac:dyDescent="0.35">
      <c r="A299" s="1"/>
      <c r="B299" s="39"/>
      <c r="C299" s="13"/>
      <c r="D299" s="13"/>
      <c r="F299" s="43"/>
      <c r="G299" s="13"/>
      <c r="H299" s="13"/>
      <c r="I299" s="8"/>
      <c r="J299" s="39"/>
      <c r="K299" s="6"/>
      <c r="L299" s="6"/>
      <c r="M299" s="133"/>
      <c r="N299" s="10"/>
      <c r="O299" s="13"/>
      <c r="Q299" s="8"/>
      <c r="R299" s="155"/>
      <c r="S299" s="47"/>
      <c r="T299" s="1"/>
      <c r="U299" s="1"/>
      <c r="V299" s="5"/>
      <c r="W299" s="1"/>
      <c r="X299" s="1"/>
      <c r="Y299" s="1"/>
      <c r="Z299" s="1"/>
      <c r="AA299" s="1"/>
      <c r="AB299" s="1"/>
    </row>
    <row r="300" spans="1:28" s="4" customFormat="1" ht="20.149999999999999" customHeight="1" x14ac:dyDescent="0.35">
      <c r="A300" s="1"/>
      <c r="B300" s="39"/>
      <c r="C300" s="13"/>
      <c r="D300" s="13"/>
      <c r="F300" s="43"/>
      <c r="G300" s="13"/>
      <c r="H300" s="13"/>
      <c r="I300" s="8"/>
      <c r="J300" s="39"/>
      <c r="K300" s="6"/>
      <c r="L300" s="6"/>
      <c r="M300" s="133"/>
      <c r="N300" s="10"/>
      <c r="O300" s="13"/>
      <c r="Q300" s="8"/>
      <c r="R300" s="155"/>
      <c r="S300" s="47"/>
      <c r="T300" s="1"/>
      <c r="U300" s="1"/>
      <c r="V300" s="5"/>
      <c r="W300" s="1"/>
      <c r="X300" s="1"/>
      <c r="Y300" s="1"/>
      <c r="Z300" s="1"/>
      <c r="AA300" s="1"/>
      <c r="AB300" s="1"/>
    </row>
    <row r="301" spans="1:28" s="4" customFormat="1" ht="20.149999999999999" customHeight="1" x14ac:dyDescent="0.35">
      <c r="A301" s="1"/>
      <c r="B301" s="39"/>
      <c r="C301" s="13"/>
      <c r="D301" s="13"/>
      <c r="F301" s="43"/>
      <c r="G301" s="13"/>
      <c r="H301" s="13"/>
      <c r="I301" s="8"/>
      <c r="J301" s="39"/>
      <c r="K301" s="6"/>
      <c r="L301" s="6"/>
      <c r="M301" s="133"/>
      <c r="N301" s="10"/>
      <c r="O301" s="13"/>
      <c r="Q301" s="8"/>
      <c r="R301" s="155"/>
      <c r="S301" s="47"/>
      <c r="T301" s="1"/>
      <c r="U301" s="1"/>
      <c r="V301" s="5"/>
      <c r="W301" s="1"/>
      <c r="X301" s="1"/>
      <c r="Y301" s="1"/>
      <c r="Z301" s="1"/>
      <c r="AA301" s="1"/>
      <c r="AB301" s="1"/>
    </row>
    <row r="302" spans="1:28" s="4" customFormat="1" ht="20.149999999999999" customHeight="1" x14ac:dyDescent="0.35">
      <c r="A302" s="1"/>
      <c r="B302" s="39"/>
      <c r="C302" s="13"/>
      <c r="D302" s="13"/>
      <c r="F302" s="43"/>
      <c r="G302" s="13"/>
      <c r="H302" s="13"/>
      <c r="I302" s="8"/>
      <c r="J302" s="39"/>
      <c r="K302" s="6"/>
      <c r="L302" s="6"/>
      <c r="M302" s="133"/>
      <c r="N302" s="10"/>
      <c r="O302" s="13"/>
      <c r="Q302" s="8"/>
      <c r="R302" s="155"/>
      <c r="S302" s="47"/>
      <c r="T302" s="1"/>
      <c r="U302" s="1"/>
      <c r="V302" s="5"/>
      <c r="W302" s="1"/>
      <c r="X302" s="1"/>
      <c r="Y302" s="1"/>
      <c r="Z302" s="1"/>
      <c r="AA302" s="1"/>
      <c r="AB302" s="1"/>
    </row>
    <row r="303" spans="1:28" s="4" customFormat="1" ht="20.149999999999999" customHeight="1" x14ac:dyDescent="0.35">
      <c r="A303" s="1"/>
      <c r="B303" s="39"/>
      <c r="C303" s="13"/>
      <c r="D303" s="13"/>
      <c r="F303" s="43"/>
      <c r="G303" s="13"/>
      <c r="H303" s="13"/>
      <c r="I303" s="8"/>
      <c r="J303" s="39"/>
      <c r="K303" s="6"/>
      <c r="L303" s="6"/>
      <c r="M303" s="133"/>
      <c r="N303" s="10"/>
      <c r="O303" s="13"/>
      <c r="Q303" s="8"/>
      <c r="R303" s="155"/>
      <c r="S303" s="47"/>
      <c r="T303" s="1"/>
      <c r="U303" s="1"/>
      <c r="V303" s="5"/>
      <c r="W303" s="1"/>
      <c r="X303" s="1"/>
      <c r="Y303" s="1"/>
      <c r="Z303" s="1"/>
      <c r="AA303" s="1"/>
      <c r="AB303" s="1"/>
    </row>
    <row r="304" spans="1:28" s="4" customFormat="1" ht="20.149999999999999" customHeight="1" x14ac:dyDescent="0.35">
      <c r="A304" s="1"/>
      <c r="B304" s="39"/>
      <c r="C304" s="13"/>
      <c r="D304" s="13"/>
      <c r="F304" s="43"/>
      <c r="G304" s="13"/>
      <c r="H304" s="13"/>
      <c r="I304" s="8"/>
      <c r="J304" s="39"/>
      <c r="K304" s="6"/>
      <c r="L304" s="6"/>
      <c r="M304" s="133"/>
      <c r="N304" s="10"/>
      <c r="O304" s="13"/>
      <c r="Q304" s="8"/>
      <c r="R304" s="155"/>
      <c r="S304" s="47"/>
      <c r="T304" s="1"/>
      <c r="U304" s="1"/>
      <c r="V304" s="5"/>
      <c r="W304" s="1"/>
      <c r="X304" s="1"/>
      <c r="Y304" s="1"/>
      <c r="Z304" s="1"/>
      <c r="AA304" s="1"/>
      <c r="AB304" s="1"/>
    </row>
    <row r="305" spans="1:28" s="4" customFormat="1" ht="20.149999999999999" customHeight="1" x14ac:dyDescent="0.35">
      <c r="A305" s="1"/>
      <c r="B305" s="39"/>
      <c r="C305" s="13"/>
      <c r="D305" s="13"/>
      <c r="F305" s="43"/>
      <c r="G305" s="13"/>
      <c r="H305" s="13"/>
      <c r="I305" s="8"/>
      <c r="J305" s="39"/>
      <c r="K305" s="6"/>
      <c r="L305" s="6"/>
      <c r="M305" s="133"/>
      <c r="N305" s="10"/>
      <c r="O305" s="13"/>
      <c r="Q305" s="8"/>
      <c r="R305" s="155"/>
      <c r="S305" s="47"/>
      <c r="T305" s="1"/>
      <c r="U305" s="1"/>
      <c r="V305" s="5"/>
      <c r="W305" s="1"/>
      <c r="X305" s="1"/>
      <c r="Y305" s="1"/>
      <c r="Z305" s="1"/>
      <c r="AA305" s="1"/>
      <c r="AB305" s="1"/>
    </row>
    <row r="306" spans="1:28" s="4" customFormat="1" ht="20.149999999999999" customHeight="1" x14ac:dyDescent="0.35">
      <c r="A306" s="1"/>
      <c r="B306" s="39"/>
      <c r="C306" s="13"/>
      <c r="D306" s="13"/>
      <c r="F306" s="43"/>
      <c r="G306" s="13"/>
      <c r="H306" s="13"/>
      <c r="I306" s="8"/>
      <c r="J306" s="39"/>
      <c r="K306" s="6"/>
      <c r="L306" s="6"/>
      <c r="M306" s="133"/>
      <c r="N306" s="10"/>
      <c r="O306" s="13"/>
      <c r="Q306" s="8"/>
      <c r="R306" s="155"/>
      <c r="S306" s="47"/>
      <c r="T306" s="1"/>
      <c r="U306" s="1"/>
      <c r="V306" s="5"/>
      <c r="W306" s="1"/>
      <c r="X306" s="1"/>
      <c r="Y306" s="1"/>
      <c r="Z306" s="1"/>
      <c r="AA306" s="1"/>
      <c r="AB306" s="1"/>
    </row>
    <row r="307" spans="1:28" s="4" customFormat="1" ht="20.149999999999999" customHeight="1" x14ac:dyDescent="0.35">
      <c r="A307" s="1"/>
      <c r="B307" s="39"/>
      <c r="C307" s="13"/>
      <c r="D307" s="13"/>
      <c r="F307" s="43"/>
      <c r="G307" s="13"/>
      <c r="H307" s="13"/>
      <c r="I307" s="8"/>
      <c r="J307" s="39"/>
      <c r="K307" s="6"/>
      <c r="L307" s="6"/>
      <c r="M307" s="133"/>
      <c r="N307" s="10"/>
      <c r="O307" s="13"/>
      <c r="Q307" s="8"/>
      <c r="R307" s="155"/>
      <c r="S307" s="47"/>
      <c r="T307" s="1"/>
      <c r="U307" s="1"/>
      <c r="V307" s="5"/>
      <c r="W307" s="1"/>
      <c r="X307" s="1"/>
      <c r="Y307" s="1"/>
      <c r="Z307" s="1"/>
      <c r="AA307" s="1"/>
      <c r="AB307" s="1"/>
    </row>
    <row r="308" spans="1:28" s="4" customFormat="1" ht="20.149999999999999" customHeight="1" x14ac:dyDescent="0.35">
      <c r="A308" s="1"/>
      <c r="B308" s="39"/>
      <c r="C308" s="13"/>
      <c r="D308" s="13"/>
      <c r="F308" s="43"/>
      <c r="G308" s="13"/>
      <c r="H308" s="13"/>
      <c r="I308" s="8"/>
      <c r="J308" s="39"/>
      <c r="K308" s="6"/>
      <c r="L308" s="6"/>
      <c r="M308" s="133"/>
      <c r="N308" s="10"/>
      <c r="O308" s="13"/>
      <c r="Q308" s="8"/>
      <c r="R308" s="155"/>
      <c r="S308" s="47"/>
      <c r="T308" s="1"/>
      <c r="U308" s="1"/>
      <c r="V308" s="5"/>
      <c r="W308" s="1"/>
      <c r="X308" s="1"/>
      <c r="Y308" s="1"/>
      <c r="Z308" s="1"/>
      <c r="AA308" s="1"/>
      <c r="AB308" s="1"/>
    </row>
    <row r="309" spans="1:28" s="4" customFormat="1" ht="20.149999999999999" customHeight="1" x14ac:dyDescent="0.35">
      <c r="A309" s="1"/>
      <c r="B309" s="39"/>
      <c r="C309" s="13"/>
      <c r="D309" s="13"/>
      <c r="F309" s="43"/>
      <c r="G309" s="13"/>
      <c r="H309" s="13"/>
      <c r="I309" s="8"/>
      <c r="J309" s="39"/>
      <c r="K309" s="6"/>
      <c r="L309" s="6"/>
      <c r="M309" s="133"/>
      <c r="N309" s="10"/>
      <c r="O309" s="13"/>
      <c r="Q309" s="8"/>
      <c r="R309" s="155"/>
      <c r="S309" s="47"/>
      <c r="T309" s="1"/>
      <c r="U309" s="1"/>
      <c r="V309" s="5"/>
      <c r="W309" s="1"/>
      <c r="X309" s="1"/>
      <c r="Y309" s="1"/>
      <c r="Z309" s="1"/>
      <c r="AA309" s="1"/>
      <c r="AB309" s="1"/>
    </row>
    <row r="310" spans="1:28" s="4" customFormat="1" ht="20.149999999999999" customHeight="1" x14ac:dyDescent="0.35">
      <c r="A310" s="1"/>
      <c r="B310" s="39"/>
      <c r="C310" s="13"/>
      <c r="D310" s="13"/>
      <c r="F310" s="43"/>
      <c r="G310" s="13"/>
      <c r="H310" s="13"/>
      <c r="I310" s="8"/>
      <c r="J310" s="39"/>
      <c r="K310" s="6"/>
      <c r="L310" s="6"/>
      <c r="M310" s="133"/>
      <c r="N310" s="10"/>
      <c r="O310" s="13"/>
      <c r="Q310" s="8"/>
      <c r="R310" s="155"/>
      <c r="S310" s="47"/>
      <c r="T310" s="1"/>
      <c r="U310" s="1"/>
      <c r="V310" s="5"/>
      <c r="W310" s="1"/>
      <c r="X310" s="1"/>
      <c r="Y310" s="1"/>
      <c r="Z310" s="1"/>
      <c r="AA310" s="1"/>
      <c r="AB310" s="1"/>
    </row>
    <row r="311" spans="1:28" s="4" customFormat="1" ht="20.149999999999999" customHeight="1" x14ac:dyDescent="0.35">
      <c r="A311" s="1"/>
      <c r="B311" s="39"/>
      <c r="C311" s="13"/>
      <c r="D311" s="13"/>
      <c r="F311" s="43"/>
      <c r="G311" s="13"/>
      <c r="H311" s="13"/>
      <c r="I311" s="8"/>
      <c r="J311" s="39"/>
      <c r="K311" s="6"/>
      <c r="L311" s="6"/>
      <c r="M311" s="133"/>
      <c r="N311" s="10"/>
      <c r="O311" s="13"/>
      <c r="Q311" s="8"/>
      <c r="R311" s="155"/>
      <c r="S311" s="47"/>
      <c r="T311" s="1"/>
      <c r="U311" s="1"/>
      <c r="V311" s="5"/>
      <c r="W311" s="1"/>
      <c r="X311" s="1"/>
      <c r="Y311" s="1"/>
      <c r="Z311" s="1"/>
      <c r="AA311" s="1"/>
      <c r="AB311" s="1"/>
    </row>
    <row r="312" spans="1:28" s="4" customFormat="1" ht="20.149999999999999" customHeight="1" x14ac:dyDescent="0.35">
      <c r="A312" s="1"/>
      <c r="B312" s="39"/>
      <c r="C312" s="13"/>
      <c r="D312" s="13"/>
      <c r="F312" s="43"/>
      <c r="G312" s="13"/>
      <c r="H312" s="13"/>
      <c r="I312" s="8"/>
      <c r="J312" s="39"/>
      <c r="K312" s="6"/>
      <c r="L312" s="6"/>
      <c r="M312" s="133"/>
      <c r="N312" s="10"/>
      <c r="O312" s="13"/>
      <c r="Q312" s="8"/>
      <c r="R312" s="155"/>
      <c r="S312" s="47"/>
      <c r="T312" s="1"/>
      <c r="U312" s="1"/>
      <c r="V312" s="5"/>
      <c r="W312" s="1"/>
      <c r="X312" s="1"/>
      <c r="Y312" s="1"/>
      <c r="Z312" s="1"/>
      <c r="AA312" s="1"/>
      <c r="AB312" s="1"/>
    </row>
    <row r="313" spans="1:28" s="4" customFormat="1" ht="20.149999999999999" customHeight="1" x14ac:dyDescent="0.35">
      <c r="A313" s="1"/>
      <c r="B313" s="39"/>
      <c r="C313" s="13"/>
      <c r="D313" s="13"/>
      <c r="F313" s="43"/>
      <c r="G313" s="13"/>
      <c r="H313" s="13"/>
      <c r="I313" s="8"/>
      <c r="J313" s="39"/>
      <c r="K313" s="6"/>
      <c r="L313" s="6"/>
      <c r="M313" s="133"/>
      <c r="N313" s="10"/>
      <c r="O313" s="13"/>
      <c r="Q313" s="8"/>
      <c r="R313" s="155"/>
      <c r="S313" s="47"/>
      <c r="T313" s="1"/>
      <c r="U313" s="1"/>
      <c r="V313" s="5"/>
      <c r="W313" s="1"/>
      <c r="X313" s="1"/>
      <c r="Y313" s="1"/>
      <c r="Z313" s="1"/>
      <c r="AA313" s="1"/>
      <c r="AB313" s="1"/>
    </row>
    <row r="314" spans="1:28" s="4" customFormat="1" ht="20.149999999999999" customHeight="1" x14ac:dyDescent="0.35">
      <c r="A314" s="1"/>
      <c r="B314" s="39"/>
      <c r="C314" s="13"/>
      <c r="D314" s="13"/>
      <c r="F314" s="43"/>
      <c r="G314" s="13"/>
      <c r="H314" s="13"/>
      <c r="I314" s="8"/>
      <c r="J314" s="39"/>
      <c r="K314" s="6"/>
      <c r="L314" s="6"/>
      <c r="M314" s="133"/>
      <c r="N314" s="10"/>
      <c r="O314" s="13"/>
      <c r="Q314" s="8"/>
      <c r="R314" s="155"/>
      <c r="S314" s="47"/>
      <c r="T314" s="1"/>
      <c r="U314" s="1"/>
      <c r="V314" s="5"/>
      <c r="W314" s="1"/>
      <c r="X314" s="1"/>
      <c r="Y314" s="1"/>
      <c r="Z314" s="1"/>
      <c r="AA314" s="1"/>
      <c r="AB314" s="1"/>
    </row>
    <row r="315" spans="1:28" s="4" customFormat="1" ht="20.149999999999999" customHeight="1" x14ac:dyDescent="0.35">
      <c r="A315" s="1"/>
      <c r="B315" s="39"/>
      <c r="C315" s="13"/>
      <c r="D315" s="13"/>
      <c r="F315" s="43"/>
      <c r="G315" s="13"/>
      <c r="H315" s="13"/>
      <c r="I315" s="8"/>
      <c r="J315" s="39"/>
      <c r="K315" s="6"/>
      <c r="L315" s="6"/>
      <c r="M315" s="133"/>
      <c r="N315" s="10"/>
      <c r="O315" s="13"/>
      <c r="Q315" s="8"/>
      <c r="R315" s="155"/>
      <c r="S315" s="47"/>
      <c r="T315" s="1"/>
      <c r="U315" s="1"/>
      <c r="V315" s="5"/>
      <c r="W315" s="1"/>
      <c r="X315" s="1"/>
      <c r="Y315" s="1"/>
      <c r="Z315" s="1"/>
      <c r="AA315" s="1"/>
      <c r="AB315" s="1"/>
    </row>
    <row r="316" spans="1:28" s="4" customFormat="1" ht="20.149999999999999" customHeight="1" x14ac:dyDescent="0.35">
      <c r="A316" s="1"/>
      <c r="B316" s="39"/>
      <c r="C316" s="13"/>
      <c r="D316" s="13"/>
      <c r="F316" s="43"/>
      <c r="G316" s="13"/>
      <c r="H316" s="13"/>
      <c r="I316" s="8"/>
      <c r="J316" s="39"/>
      <c r="K316" s="6"/>
      <c r="L316" s="6"/>
      <c r="M316" s="133"/>
      <c r="N316" s="10"/>
      <c r="O316" s="13"/>
      <c r="Q316" s="8"/>
      <c r="R316" s="155"/>
      <c r="S316" s="47"/>
      <c r="T316" s="1"/>
      <c r="U316" s="1"/>
      <c r="V316" s="5"/>
      <c r="W316" s="1"/>
      <c r="X316" s="1"/>
      <c r="Y316" s="1"/>
      <c r="Z316" s="1"/>
      <c r="AA316" s="1"/>
      <c r="AB316" s="1"/>
    </row>
    <row r="317" spans="1:28" s="4" customFormat="1" ht="20.149999999999999" customHeight="1" x14ac:dyDescent="0.35">
      <c r="A317" s="1"/>
      <c r="B317" s="39"/>
      <c r="C317" s="13"/>
      <c r="D317" s="13"/>
      <c r="F317" s="43"/>
      <c r="G317" s="13"/>
      <c r="H317" s="13"/>
      <c r="I317" s="8"/>
      <c r="J317" s="39"/>
      <c r="K317" s="6"/>
      <c r="L317" s="6"/>
      <c r="M317" s="133"/>
      <c r="N317" s="10"/>
      <c r="O317" s="13"/>
      <c r="Q317" s="8"/>
      <c r="R317" s="155"/>
      <c r="S317" s="47"/>
      <c r="T317" s="1"/>
      <c r="U317" s="1"/>
      <c r="V317" s="5"/>
      <c r="W317" s="1"/>
      <c r="X317" s="1"/>
      <c r="Y317" s="1"/>
      <c r="Z317" s="1"/>
      <c r="AA317" s="1"/>
      <c r="AB317" s="1"/>
    </row>
    <row r="318" spans="1:28" s="4" customFormat="1" ht="20.149999999999999" customHeight="1" x14ac:dyDescent="0.35">
      <c r="A318" s="1"/>
      <c r="B318" s="39"/>
      <c r="C318" s="13"/>
      <c r="D318" s="13"/>
      <c r="F318" s="43"/>
      <c r="G318" s="13"/>
      <c r="H318" s="13"/>
      <c r="I318" s="8"/>
      <c r="J318" s="39"/>
      <c r="K318" s="6"/>
      <c r="L318" s="6"/>
      <c r="M318" s="133"/>
      <c r="N318" s="10"/>
      <c r="O318" s="13"/>
      <c r="Q318" s="8"/>
      <c r="R318" s="155"/>
      <c r="S318" s="47"/>
      <c r="T318" s="1"/>
      <c r="U318" s="1"/>
      <c r="V318" s="5"/>
      <c r="W318" s="1"/>
      <c r="X318" s="1"/>
      <c r="Y318" s="1"/>
      <c r="Z318" s="1"/>
      <c r="AA318" s="1"/>
      <c r="AB318" s="1"/>
    </row>
    <row r="319" spans="1:28" s="4" customFormat="1" ht="20.149999999999999" customHeight="1" x14ac:dyDescent="0.35">
      <c r="A319" s="1"/>
      <c r="B319" s="39"/>
      <c r="C319" s="13"/>
      <c r="D319" s="13"/>
      <c r="E319" s="36"/>
      <c r="F319" s="43"/>
      <c r="G319" s="13"/>
      <c r="H319" s="13"/>
      <c r="I319" s="8"/>
      <c r="J319" s="39"/>
      <c r="K319" s="6"/>
      <c r="L319" s="6"/>
      <c r="M319" s="133"/>
      <c r="N319" s="10"/>
      <c r="O319" s="13"/>
      <c r="Q319" s="8"/>
      <c r="R319" s="155"/>
      <c r="S319" s="47"/>
      <c r="T319" s="1"/>
      <c r="U319" s="1"/>
      <c r="V319" s="5"/>
      <c r="W319" s="1"/>
      <c r="X319" s="1"/>
      <c r="Y319" s="1"/>
      <c r="Z319" s="1"/>
      <c r="AA319" s="1"/>
      <c r="AB319" s="1"/>
    </row>
    <row r="320" spans="1:28" s="4" customFormat="1" ht="20.149999999999999" customHeight="1" x14ac:dyDescent="0.35">
      <c r="A320" s="1"/>
      <c r="B320" s="39"/>
      <c r="C320" s="13"/>
      <c r="D320" s="13"/>
      <c r="E320" s="36"/>
      <c r="F320" s="43"/>
      <c r="G320" s="13"/>
      <c r="H320" s="13"/>
      <c r="I320" s="8"/>
      <c r="J320" s="39"/>
      <c r="K320" s="6"/>
      <c r="L320" s="6"/>
      <c r="M320" s="133"/>
      <c r="N320" s="10"/>
      <c r="O320" s="13"/>
      <c r="Q320" s="8"/>
      <c r="R320" s="155"/>
      <c r="S320" s="47"/>
      <c r="T320" s="1"/>
      <c r="U320" s="1"/>
      <c r="V320" s="5"/>
      <c r="W320" s="1"/>
      <c r="X320" s="1"/>
      <c r="Y320" s="1"/>
      <c r="Z320" s="1"/>
      <c r="AA320" s="1"/>
      <c r="AB320" s="1"/>
    </row>
    <row r="321" spans="1:28" s="4" customFormat="1" ht="20.149999999999999" customHeight="1" x14ac:dyDescent="0.35">
      <c r="A321" s="1"/>
      <c r="B321" s="39"/>
      <c r="C321" s="13"/>
      <c r="D321" s="13"/>
      <c r="E321" s="36"/>
      <c r="F321" s="43"/>
      <c r="G321" s="13"/>
      <c r="H321" s="13"/>
      <c r="I321" s="8"/>
      <c r="J321" s="39"/>
      <c r="K321" s="6"/>
      <c r="L321" s="6"/>
      <c r="M321" s="133"/>
      <c r="N321" s="10"/>
      <c r="O321" s="13"/>
      <c r="Q321" s="8"/>
      <c r="R321" s="155"/>
      <c r="S321" s="47"/>
      <c r="T321" s="1"/>
      <c r="U321" s="1"/>
      <c r="V321" s="5"/>
      <c r="W321" s="1"/>
      <c r="X321" s="1"/>
      <c r="Y321" s="1"/>
      <c r="Z321" s="1"/>
      <c r="AA321" s="1"/>
      <c r="AB321" s="1"/>
    </row>
    <row r="322" spans="1:28" s="4" customFormat="1" ht="20.149999999999999" customHeight="1" x14ac:dyDescent="0.35">
      <c r="A322" s="1"/>
      <c r="B322" s="39"/>
      <c r="C322" s="13"/>
      <c r="D322" s="13"/>
      <c r="E322" s="36"/>
      <c r="F322" s="43"/>
      <c r="G322" s="13"/>
      <c r="H322" s="13"/>
      <c r="I322" s="8"/>
      <c r="J322" s="39"/>
      <c r="K322" s="6"/>
      <c r="L322" s="6"/>
      <c r="M322" s="133"/>
      <c r="N322" s="10"/>
      <c r="O322" s="13"/>
      <c r="Q322" s="8"/>
      <c r="R322" s="155"/>
      <c r="S322" s="47"/>
      <c r="T322" s="1"/>
      <c r="U322" s="1"/>
      <c r="V322" s="5"/>
      <c r="W322" s="1"/>
      <c r="X322" s="1"/>
      <c r="Y322" s="1"/>
      <c r="Z322" s="1"/>
      <c r="AA322" s="1"/>
      <c r="AB322" s="1"/>
    </row>
    <row r="323" spans="1:28" s="4" customFormat="1" ht="20.149999999999999" customHeight="1" x14ac:dyDescent="0.35">
      <c r="A323" s="1"/>
      <c r="B323" s="39"/>
      <c r="C323" s="13"/>
      <c r="D323" s="13"/>
      <c r="E323" s="36"/>
      <c r="F323" s="43"/>
      <c r="G323" s="13"/>
      <c r="H323" s="13"/>
      <c r="I323" s="8"/>
      <c r="J323" s="39"/>
      <c r="K323" s="6"/>
      <c r="L323" s="6"/>
      <c r="M323" s="133"/>
      <c r="N323" s="10"/>
      <c r="O323" s="13"/>
      <c r="Q323" s="8"/>
      <c r="R323" s="155"/>
      <c r="S323" s="47"/>
      <c r="T323" s="1"/>
      <c r="U323" s="1"/>
      <c r="V323" s="5"/>
      <c r="W323" s="1"/>
      <c r="X323" s="1"/>
      <c r="Y323" s="1"/>
      <c r="Z323" s="1"/>
      <c r="AA323" s="1"/>
      <c r="AB323" s="1"/>
    </row>
    <row r="324" spans="1:28" s="4" customFormat="1" ht="20.149999999999999" customHeight="1" x14ac:dyDescent="0.35">
      <c r="A324" s="1"/>
      <c r="B324" s="39"/>
      <c r="C324" s="13"/>
      <c r="D324" s="13"/>
      <c r="E324" s="36"/>
      <c r="F324" s="43"/>
      <c r="G324" s="13"/>
      <c r="H324" s="13"/>
      <c r="I324" s="8"/>
      <c r="J324" s="39"/>
      <c r="K324" s="6"/>
      <c r="L324" s="6"/>
      <c r="M324" s="133"/>
      <c r="N324" s="10"/>
      <c r="O324" s="13"/>
      <c r="Q324" s="8"/>
      <c r="R324" s="155"/>
      <c r="S324" s="47"/>
      <c r="T324" s="1"/>
      <c r="U324" s="1"/>
      <c r="V324" s="5"/>
      <c r="W324" s="1"/>
      <c r="X324" s="1"/>
      <c r="Y324" s="1"/>
      <c r="Z324" s="1"/>
      <c r="AA324" s="1"/>
      <c r="AB324" s="1"/>
    </row>
    <row r="325" spans="1:28" s="4" customFormat="1" ht="20.149999999999999" customHeight="1" x14ac:dyDescent="0.35">
      <c r="A325" s="1"/>
      <c r="B325" s="39"/>
      <c r="C325" s="13"/>
      <c r="D325" s="13"/>
      <c r="E325" s="36"/>
      <c r="F325" s="43"/>
      <c r="G325" s="13"/>
      <c r="H325" s="13"/>
      <c r="I325" s="8"/>
      <c r="J325" s="39"/>
      <c r="K325" s="6"/>
      <c r="L325" s="6"/>
      <c r="M325" s="133"/>
      <c r="N325" s="10"/>
      <c r="O325" s="13"/>
      <c r="Q325" s="8"/>
      <c r="R325" s="155"/>
      <c r="S325" s="47"/>
      <c r="T325" s="1"/>
      <c r="U325" s="1"/>
      <c r="V325" s="5"/>
      <c r="W325" s="1"/>
      <c r="X325" s="1"/>
      <c r="Y325" s="1"/>
      <c r="Z325" s="1"/>
      <c r="AA325" s="1"/>
      <c r="AB325" s="1"/>
    </row>
    <row r="326" spans="1:28" s="4" customFormat="1" ht="20.149999999999999" customHeight="1" x14ac:dyDescent="0.35">
      <c r="A326" s="1"/>
      <c r="B326" s="39"/>
      <c r="C326" s="13"/>
      <c r="D326" s="13"/>
      <c r="E326" s="36"/>
      <c r="F326" s="43"/>
      <c r="G326" s="13"/>
      <c r="H326" s="13"/>
      <c r="I326" s="8"/>
      <c r="J326" s="39"/>
      <c r="K326" s="6"/>
      <c r="L326" s="6"/>
      <c r="M326" s="133"/>
      <c r="N326" s="10"/>
      <c r="O326" s="13"/>
      <c r="Q326" s="8"/>
      <c r="R326" s="155"/>
      <c r="S326" s="47"/>
      <c r="T326" s="1"/>
      <c r="U326" s="1"/>
      <c r="V326" s="5"/>
      <c r="W326" s="1"/>
      <c r="X326" s="1"/>
      <c r="Y326" s="1"/>
      <c r="Z326" s="1"/>
      <c r="AA326" s="1"/>
      <c r="AB326" s="1"/>
    </row>
    <row r="327" spans="1:28" s="4" customFormat="1" ht="20.149999999999999" customHeight="1" x14ac:dyDescent="0.35">
      <c r="A327" s="1"/>
      <c r="B327" s="39"/>
      <c r="C327" s="13"/>
      <c r="D327" s="13"/>
      <c r="E327" s="36"/>
      <c r="F327" s="43"/>
      <c r="G327" s="13"/>
      <c r="H327" s="13"/>
      <c r="I327" s="8"/>
      <c r="J327" s="39"/>
      <c r="K327" s="6"/>
      <c r="L327" s="6"/>
      <c r="M327" s="133"/>
      <c r="N327" s="10"/>
      <c r="O327" s="13"/>
      <c r="Q327" s="8"/>
      <c r="R327" s="155"/>
      <c r="S327" s="47"/>
      <c r="T327" s="1"/>
      <c r="U327" s="1"/>
      <c r="V327" s="5"/>
      <c r="W327" s="1"/>
      <c r="X327" s="1"/>
      <c r="Y327" s="1"/>
      <c r="Z327" s="1"/>
      <c r="AA327" s="1"/>
      <c r="AB327" s="1"/>
    </row>
    <row r="328" spans="1:28" s="4" customFormat="1" ht="20.149999999999999" customHeight="1" x14ac:dyDescent="0.35">
      <c r="A328" s="1"/>
      <c r="B328" s="39"/>
      <c r="C328" s="13"/>
      <c r="D328" s="13"/>
      <c r="E328" s="36"/>
      <c r="F328" s="43"/>
      <c r="G328" s="13"/>
      <c r="H328" s="13"/>
      <c r="I328" s="8"/>
      <c r="J328" s="39"/>
      <c r="K328" s="6"/>
      <c r="L328" s="6"/>
      <c r="M328" s="133"/>
      <c r="N328" s="10"/>
      <c r="O328" s="13"/>
      <c r="Q328" s="8"/>
      <c r="R328" s="155"/>
      <c r="S328" s="47"/>
      <c r="T328" s="1"/>
      <c r="U328" s="1"/>
      <c r="V328" s="5"/>
      <c r="W328" s="1"/>
      <c r="X328" s="1"/>
      <c r="Y328" s="1"/>
      <c r="Z328" s="1"/>
      <c r="AA328" s="1"/>
      <c r="AB328" s="1"/>
    </row>
    <row r="329" spans="1:28" s="4" customFormat="1" ht="20.149999999999999" customHeight="1" x14ac:dyDescent="0.35">
      <c r="A329" s="1"/>
      <c r="B329" s="39"/>
      <c r="C329" s="13"/>
      <c r="D329" s="13"/>
      <c r="E329" s="36"/>
      <c r="F329" s="43"/>
      <c r="G329" s="13"/>
      <c r="H329" s="13"/>
      <c r="I329" s="8"/>
      <c r="J329" s="39"/>
      <c r="K329" s="6"/>
      <c r="L329" s="6"/>
      <c r="M329" s="133"/>
      <c r="N329" s="10"/>
      <c r="O329" s="13"/>
      <c r="Q329" s="8"/>
      <c r="R329" s="155"/>
      <c r="S329" s="47"/>
      <c r="T329" s="1"/>
      <c r="U329" s="1"/>
      <c r="V329" s="5"/>
      <c r="W329" s="1"/>
      <c r="X329" s="1"/>
      <c r="Y329" s="1"/>
      <c r="Z329" s="1"/>
      <c r="AA329" s="1"/>
      <c r="AB329" s="1"/>
    </row>
    <row r="330" spans="1:28" s="4" customFormat="1" ht="20.149999999999999" customHeight="1" x14ac:dyDescent="0.35">
      <c r="A330" s="1"/>
      <c r="B330" s="39"/>
      <c r="C330" s="13"/>
      <c r="D330" s="13"/>
      <c r="E330" s="36"/>
      <c r="F330" s="43"/>
      <c r="G330" s="13"/>
      <c r="H330" s="13"/>
      <c r="I330" s="8"/>
      <c r="J330" s="39"/>
      <c r="K330" s="6"/>
      <c r="L330" s="6"/>
      <c r="M330" s="133"/>
      <c r="N330" s="10"/>
      <c r="O330" s="13"/>
      <c r="Q330" s="8"/>
      <c r="R330" s="155"/>
      <c r="S330" s="47"/>
      <c r="T330" s="1"/>
      <c r="U330" s="1"/>
      <c r="V330" s="5"/>
      <c r="W330" s="1"/>
      <c r="X330" s="1"/>
      <c r="Y330" s="1"/>
      <c r="Z330" s="1"/>
      <c r="AA330" s="1"/>
      <c r="AB330" s="1"/>
    </row>
    <row r="331" spans="1:28" s="4" customFormat="1" ht="20.149999999999999" customHeight="1" x14ac:dyDescent="0.35">
      <c r="A331" s="1"/>
      <c r="B331" s="39"/>
      <c r="C331" s="13"/>
      <c r="D331" s="13"/>
      <c r="E331" s="36"/>
      <c r="F331" s="43"/>
      <c r="G331" s="13"/>
      <c r="H331" s="13"/>
      <c r="I331" s="8"/>
      <c r="J331" s="39"/>
      <c r="K331" s="6"/>
      <c r="L331" s="6"/>
      <c r="M331" s="133"/>
      <c r="N331" s="10"/>
      <c r="O331" s="13"/>
      <c r="Q331" s="8"/>
      <c r="R331" s="155"/>
      <c r="S331" s="47"/>
      <c r="T331" s="1"/>
      <c r="U331" s="1"/>
      <c r="V331" s="5"/>
      <c r="W331" s="1"/>
      <c r="X331" s="1"/>
      <c r="Y331" s="1"/>
      <c r="Z331" s="1"/>
      <c r="AA331" s="1"/>
      <c r="AB331" s="1"/>
    </row>
    <row r="332" spans="1:28" s="4" customFormat="1" ht="20.149999999999999" customHeight="1" x14ac:dyDescent="0.35">
      <c r="A332" s="1"/>
      <c r="B332" s="39"/>
      <c r="C332" s="13"/>
      <c r="D332" s="13"/>
      <c r="E332" s="36"/>
      <c r="F332" s="43"/>
      <c r="G332" s="13"/>
      <c r="H332" s="13"/>
      <c r="I332" s="8"/>
      <c r="J332" s="39"/>
      <c r="K332" s="6"/>
      <c r="L332" s="6"/>
      <c r="M332" s="133"/>
      <c r="N332" s="10"/>
      <c r="O332" s="13"/>
      <c r="Q332" s="8"/>
      <c r="R332" s="155"/>
      <c r="S332" s="47"/>
      <c r="T332" s="1"/>
      <c r="U332" s="1"/>
      <c r="V332" s="5"/>
      <c r="W332" s="1"/>
      <c r="X332" s="1"/>
      <c r="Y332" s="1"/>
      <c r="Z332" s="1"/>
      <c r="AA332" s="1"/>
      <c r="AB332" s="1"/>
    </row>
    <row r="333" spans="1:28" s="4" customFormat="1" ht="20.149999999999999" customHeight="1" x14ac:dyDescent="0.35">
      <c r="A333" s="1"/>
      <c r="B333" s="39"/>
      <c r="C333" s="13"/>
      <c r="D333" s="13"/>
      <c r="E333" s="36"/>
      <c r="F333" s="43"/>
      <c r="G333" s="13"/>
      <c r="H333" s="13"/>
      <c r="I333" s="8"/>
      <c r="J333" s="39"/>
      <c r="K333" s="6"/>
      <c r="L333" s="6"/>
      <c r="M333" s="133"/>
      <c r="N333" s="10"/>
      <c r="O333" s="13"/>
      <c r="Q333" s="8"/>
      <c r="R333" s="155"/>
      <c r="S333" s="47"/>
      <c r="T333" s="1"/>
      <c r="U333" s="1"/>
      <c r="V333" s="5"/>
      <c r="W333" s="1"/>
      <c r="X333" s="1"/>
      <c r="Y333" s="1"/>
      <c r="Z333" s="1"/>
      <c r="AA333" s="1"/>
      <c r="AB333" s="1"/>
    </row>
    <row r="334" spans="1:28" s="4" customFormat="1" ht="20.149999999999999" customHeight="1" x14ac:dyDescent="0.35">
      <c r="A334" s="1"/>
      <c r="B334" s="39"/>
      <c r="C334" s="13"/>
      <c r="D334" s="13"/>
      <c r="E334" s="36"/>
      <c r="F334" s="43"/>
      <c r="G334" s="13"/>
      <c r="H334" s="13"/>
      <c r="I334" s="8"/>
      <c r="J334" s="39"/>
      <c r="K334" s="6"/>
      <c r="L334" s="6"/>
      <c r="M334" s="133"/>
      <c r="N334" s="10"/>
      <c r="O334" s="13"/>
      <c r="Q334" s="8"/>
      <c r="R334" s="155"/>
      <c r="S334" s="47"/>
      <c r="T334" s="1"/>
      <c r="U334" s="1"/>
      <c r="V334" s="5"/>
      <c r="W334" s="1"/>
      <c r="X334" s="1"/>
      <c r="Y334" s="1"/>
      <c r="Z334" s="1"/>
      <c r="AA334" s="1"/>
      <c r="AB334" s="1"/>
    </row>
    <row r="335" spans="1:28" s="4" customFormat="1" ht="20.149999999999999" customHeight="1" x14ac:dyDescent="0.35">
      <c r="A335" s="1"/>
      <c r="B335" s="39"/>
      <c r="C335" s="13"/>
      <c r="D335" s="13"/>
      <c r="E335" s="36"/>
      <c r="F335" s="43"/>
      <c r="G335" s="13"/>
      <c r="H335" s="13"/>
      <c r="I335" s="8"/>
      <c r="J335" s="39"/>
      <c r="K335" s="6"/>
      <c r="L335" s="6"/>
      <c r="M335" s="133"/>
      <c r="N335" s="10"/>
      <c r="O335" s="13"/>
      <c r="Q335" s="8"/>
      <c r="R335" s="155"/>
      <c r="S335" s="47"/>
      <c r="T335" s="1"/>
      <c r="U335" s="1"/>
      <c r="V335" s="5"/>
      <c r="W335" s="1"/>
      <c r="X335" s="1"/>
      <c r="Y335" s="1"/>
      <c r="Z335" s="1"/>
      <c r="AA335" s="1"/>
      <c r="AB335" s="1"/>
    </row>
    <row r="336" spans="1:28" s="4" customFormat="1" ht="20.149999999999999" customHeight="1" x14ac:dyDescent="0.35">
      <c r="A336" s="1"/>
      <c r="B336" s="39"/>
      <c r="C336" s="13"/>
      <c r="D336" s="13"/>
      <c r="E336" s="36"/>
      <c r="F336" s="43"/>
      <c r="G336" s="13"/>
      <c r="H336" s="13"/>
      <c r="I336" s="8"/>
      <c r="J336" s="39"/>
      <c r="K336" s="6"/>
      <c r="L336" s="6"/>
      <c r="M336" s="133"/>
      <c r="N336" s="10"/>
      <c r="O336" s="13"/>
      <c r="Q336" s="8"/>
      <c r="R336" s="155"/>
      <c r="S336" s="47"/>
      <c r="T336" s="1"/>
      <c r="U336" s="1"/>
      <c r="V336" s="5"/>
      <c r="W336" s="1"/>
      <c r="X336" s="1"/>
      <c r="Y336" s="1"/>
      <c r="Z336" s="1"/>
      <c r="AA336" s="1"/>
      <c r="AB336" s="1"/>
    </row>
    <row r="337" spans="1:28" s="4" customFormat="1" ht="20.149999999999999" customHeight="1" x14ac:dyDescent="0.35">
      <c r="A337" s="1"/>
      <c r="B337" s="39"/>
      <c r="C337" s="13"/>
      <c r="D337" s="13"/>
      <c r="E337" s="36"/>
      <c r="F337" s="43"/>
      <c r="G337" s="13"/>
      <c r="H337" s="13"/>
      <c r="I337" s="8"/>
      <c r="J337" s="39"/>
      <c r="K337" s="6"/>
      <c r="L337" s="6"/>
      <c r="M337" s="133"/>
      <c r="N337" s="10"/>
      <c r="O337" s="13"/>
      <c r="Q337" s="8"/>
      <c r="R337" s="155"/>
      <c r="S337" s="47"/>
      <c r="T337" s="1"/>
      <c r="U337" s="1"/>
      <c r="V337" s="5"/>
      <c r="W337" s="1"/>
      <c r="X337" s="1"/>
      <c r="Y337" s="1"/>
      <c r="Z337" s="1"/>
      <c r="AA337" s="1"/>
      <c r="AB337" s="1"/>
    </row>
    <row r="338" spans="1:28" s="4" customFormat="1" ht="20.149999999999999" customHeight="1" x14ac:dyDescent="0.35">
      <c r="A338" s="1"/>
      <c r="B338" s="39"/>
      <c r="C338" s="13"/>
      <c r="D338" s="13"/>
      <c r="E338" s="36"/>
      <c r="F338" s="43"/>
      <c r="G338" s="13"/>
      <c r="H338" s="13"/>
      <c r="I338" s="8"/>
      <c r="J338" s="39"/>
      <c r="K338" s="6"/>
      <c r="L338" s="6"/>
      <c r="M338" s="133"/>
      <c r="N338" s="10"/>
      <c r="O338" s="13"/>
      <c r="Q338" s="8"/>
      <c r="R338" s="155"/>
      <c r="S338" s="47"/>
      <c r="T338" s="1"/>
      <c r="U338" s="1"/>
      <c r="V338" s="5"/>
      <c r="W338" s="1"/>
      <c r="X338" s="1"/>
      <c r="Y338" s="1"/>
      <c r="Z338" s="1"/>
      <c r="AA338" s="1"/>
      <c r="AB338" s="1"/>
    </row>
    <row r="339" spans="1:28" s="4" customFormat="1" ht="20.149999999999999" customHeight="1" x14ac:dyDescent="0.35">
      <c r="A339" s="1"/>
      <c r="B339" s="39"/>
      <c r="C339" s="13"/>
      <c r="D339" s="13"/>
      <c r="E339" s="36"/>
      <c r="F339" s="43"/>
      <c r="G339" s="13"/>
      <c r="H339" s="13"/>
      <c r="I339" s="8"/>
      <c r="J339" s="39"/>
      <c r="K339" s="6"/>
      <c r="L339" s="6"/>
      <c r="M339" s="133"/>
      <c r="N339" s="10"/>
      <c r="O339" s="13"/>
      <c r="Q339" s="8"/>
      <c r="R339" s="155"/>
      <c r="S339" s="47"/>
      <c r="T339" s="1"/>
      <c r="U339" s="1"/>
      <c r="V339" s="5"/>
      <c r="W339" s="1"/>
      <c r="X339" s="1"/>
      <c r="Y339" s="1"/>
      <c r="Z339" s="1"/>
      <c r="AA339" s="1"/>
      <c r="AB339" s="1"/>
    </row>
    <row r="340" spans="1:28" s="4" customFormat="1" ht="20.149999999999999" customHeight="1" x14ac:dyDescent="0.35">
      <c r="A340" s="1"/>
      <c r="B340" s="39"/>
      <c r="C340" s="13"/>
      <c r="D340" s="13"/>
      <c r="E340" s="36"/>
      <c r="F340" s="43"/>
      <c r="G340" s="13"/>
      <c r="H340" s="13"/>
      <c r="I340" s="8"/>
      <c r="J340" s="39"/>
      <c r="K340" s="6"/>
      <c r="L340" s="6"/>
      <c r="M340" s="133"/>
      <c r="N340" s="10"/>
      <c r="O340" s="13"/>
      <c r="Q340" s="8"/>
      <c r="R340" s="155"/>
      <c r="S340" s="47"/>
      <c r="T340" s="1"/>
      <c r="U340" s="1"/>
      <c r="V340" s="5"/>
      <c r="W340" s="1"/>
      <c r="X340" s="1"/>
      <c r="Y340" s="1"/>
      <c r="Z340" s="1"/>
      <c r="AA340" s="1"/>
      <c r="AB340" s="1"/>
    </row>
    <row r="341" spans="1:28" s="4" customFormat="1" ht="20.149999999999999" customHeight="1" x14ac:dyDescent="0.35">
      <c r="A341" s="1"/>
      <c r="B341" s="39"/>
      <c r="C341" s="13"/>
      <c r="D341" s="13"/>
      <c r="E341" s="36"/>
      <c r="F341" s="43"/>
      <c r="G341" s="13"/>
      <c r="H341" s="13"/>
      <c r="I341" s="8"/>
      <c r="J341" s="39"/>
      <c r="K341" s="6"/>
      <c r="L341" s="6"/>
      <c r="M341" s="133"/>
      <c r="N341" s="10"/>
      <c r="O341" s="13"/>
      <c r="Q341" s="8"/>
      <c r="R341" s="155"/>
      <c r="S341" s="47"/>
      <c r="T341" s="1"/>
      <c r="U341" s="1"/>
      <c r="V341" s="5"/>
      <c r="W341" s="1"/>
      <c r="X341" s="1"/>
      <c r="Y341" s="1"/>
      <c r="Z341" s="1"/>
      <c r="AA341" s="1"/>
      <c r="AB341" s="1"/>
    </row>
    <row r="342" spans="1:28" s="4" customFormat="1" ht="20.149999999999999" customHeight="1" x14ac:dyDescent="0.35">
      <c r="A342" s="1"/>
      <c r="B342" s="39"/>
      <c r="C342" s="13"/>
      <c r="D342" s="13"/>
      <c r="E342" s="36"/>
      <c r="F342" s="43"/>
      <c r="G342" s="13"/>
      <c r="H342" s="13"/>
      <c r="I342" s="8"/>
      <c r="J342" s="39"/>
      <c r="K342" s="6"/>
      <c r="L342" s="6"/>
      <c r="M342" s="133"/>
      <c r="N342" s="10"/>
      <c r="O342" s="13"/>
      <c r="Q342" s="8"/>
      <c r="R342" s="155"/>
      <c r="S342" s="47"/>
      <c r="T342" s="1"/>
      <c r="U342" s="1"/>
      <c r="V342" s="5"/>
      <c r="W342" s="1"/>
      <c r="X342" s="1"/>
      <c r="Y342" s="1"/>
      <c r="Z342" s="1"/>
      <c r="AA342" s="1"/>
      <c r="AB342" s="1"/>
    </row>
    <row r="343" spans="1:28" s="4" customFormat="1" ht="20.149999999999999" customHeight="1" x14ac:dyDescent="0.35">
      <c r="A343" s="1"/>
      <c r="B343" s="39"/>
      <c r="C343" s="13"/>
      <c r="D343" s="13"/>
      <c r="E343" s="36"/>
      <c r="F343" s="43"/>
      <c r="G343" s="13"/>
      <c r="H343" s="13"/>
      <c r="I343" s="8"/>
      <c r="J343" s="39"/>
      <c r="K343" s="6"/>
      <c r="L343" s="6"/>
      <c r="M343" s="133"/>
      <c r="N343" s="10"/>
      <c r="O343" s="13"/>
      <c r="Q343" s="8"/>
      <c r="R343" s="155"/>
      <c r="S343" s="47"/>
      <c r="T343" s="1"/>
      <c r="U343" s="1"/>
      <c r="V343" s="5"/>
      <c r="W343" s="1"/>
      <c r="X343" s="1"/>
      <c r="Y343" s="1"/>
      <c r="Z343" s="1"/>
      <c r="AA343" s="1"/>
      <c r="AB343" s="1"/>
    </row>
    <row r="344" spans="1:28" s="4" customFormat="1" ht="20.149999999999999" customHeight="1" x14ac:dyDescent="0.35">
      <c r="A344" s="1"/>
      <c r="B344" s="39"/>
      <c r="C344" s="13"/>
      <c r="D344" s="13"/>
      <c r="E344" s="36"/>
      <c r="F344" s="43"/>
      <c r="G344" s="13"/>
      <c r="H344" s="13"/>
      <c r="I344" s="8"/>
      <c r="J344" s="39"/>
      <c r="K344" s="6"/>
      <c r="L344" s="6"/>
      <c r="M344" s="133"/>
      <c r="N344" s="10"/>
      <c r="O344" s="13"/>
      <c r="Q344" s="8"/>
      <c r="R344" s="155"/>
      <c r="S344" s="47"/>
      <c r="T344" s="1"/>
      <c r="U344" s="1"/>
      <c r="V344" s="5"/>
      <c r="W344" s="1"/>
      <c r="X344" s="1"/>
      <c r="Y344" s="1"/>
      <c r="Z344" s="1"/>
      <c r="AA344" s="1"/>
      <c r="AB344" s="1"/>
    </row>
    <row r="345" spans="1:28" s="4" customFormat="1" ht="20.149999999999999" customHeight="1" x14ac:dyDescent="0.35">
      <c r="A345" s="1"/>
      <c r="B345" s="39"/>
      <c r="C345" s="13"/>
      <c r="D345" s="13"/>
      <c r="E345" s="36"/>
      <c r="F345" s="43"/>
      <c r="G345" s="13"/>
      <c r="H345" s="13"/>
      <c r="I345" s="8"/>
      <c r="J345" s="39"/>
      <c r="K345" s="6"/>
      <c r="L345" s="6"/>
      <c r="M345" s="133"/>
      <c r="N345" s="10"/>
      <c r="O345" s="13"/>
      <c r="Q345" s="8"/>
      <c r="R345" s="155"/>
      <c r="S345" s="47"/>
      <c r="T345" s="1"/>
      <c r="U345" s="1"/>
      <c r="V345" s="5"/>
      <c r="W345" s="1"/>
      <c r="X345" s="1"/>
      <c r="Y345" s="1"/>
      <c r="Z345" s="1"/>
      <c r="AA345" s="1"/>
      <c r="AB345" s="1"/>
    </row>
    <row r="346" spans="1:28" s="4" customFormat="1" ht="20.149999999999999" customHeight="1" x14ac:dyDescent="0.35">
      <c r="A346" s="1"/>
      <c r="B346" s="39"/>
      <c r="C346" s="13"/>
      <c r="D346" s="13"/>
      <c r="E346" s="36"/>
      <c r="F346" s="43"/>
      <c r="G346" s="13"/>
      <c r="H346" s="13"/>
      <c r="I346" s="8"/>
      <c r="J346" s="39"/>
      <c r="K346" s="6"/>
      <c r="L346" s="6"/>
      <c r="M346" s="133"/>
      <c r="N346" s="10"/>
      <c r="O346" s="13"/>
      <c r="Q346" s="8"/>
      <c r="R346" s="155"/>
      <c r="S346" s="47"/>
      <c r="T346" s="1"/>
      <c r="U346" s="1"/>
      <c r="V346" s="5"/>
      <c r="W346" s="1"/>
      <c r="X346" s="1"/>
      <c r="Y346" s="1"/>
      <c r="Z346" s="1"/>
      <c r="AA346" s="1"/>
      <c r="AB346" s="1"/>
    </row>
    <row r="347" spans="1:28" s="4" customFormat="1" ht="20.149999999999999" customHeight="1" x14ac:dyDescent="0.35">
      <c r="A347" s="1"/>
      <c r="B347" s="39"/>
      <c r="C347" s="13"/>
      <c r="D347" s="13"/>
      <c r="E347" s="36"/>
      <c r="F347" s="43"/>
      <c r="G347" s="13"/>
      <c r="H347" s="13"/>
      <c r="I347" s="8"/>
      <c r="J347" s="39"/>
      <c r="K347" s="6"/>
      <c r="L347" s="6"/>
      <c r="M347" s="133"/>
      <c r="N347" s="10"/>
      <c r="O347" s="13"/>
      <c r="Q347" s="8"/>
      <c r="R347" s="155"/>
      <c r="S347" s="47"/>
      <c r="T347" s="1"/>
      <c r="U347" s="1"/>
      <c r="V347" s="5"/>
      <c r="W347" s="1"/>
      <c r="X347" s="1"/>
      <c r="Y347" s="1"/>
      <c r="Z347" s="1"/>
      <c r="AA347" s="1"/>
      <c r="AB347" s="1"/>
    </row>
    <row r="348" spans="1:28" s="4" customFormat="1" ht="20.149999999999999" customHeight="1" x14ac:dyDescent="0.35">
      <c r="A348" s="1"/>
      <c r="B348" s="39"/>
      <c r="C348" s="13"/>
      <c r="D348" s="13"/>
      <c r="E348" s="36"/>
      <c r="F348" s="43"/>
      <c r="G348" s="13"/>
      <c r="H348" s="13"/>
      <c r="I348" s="8"/>
      <c r="J348" s="39"/>
      <c r="K348" s="6"/>
      <c r="L348" s="6"/>
      <c r="M348" s="133"/>
      <c r="N348" s="10"/>
      <c r="O348" s="13"/>
      <c r="Q348" s="8"/>
      <c r="R348" s="155"/>
      <c r="S348" s="47"/>
      <c r="T348" s="1"/>
      <c r="U348" s="1"/>
      <c r="V348" s="5"/>
      <c r="W348" s="1"/>
      <c r="X348" s="1"/>
      <c r="Y348" s="1"/>
      <c r="Z348" s="1"/>
      <c r="AA348" s="1"/>
      <c r="AB348" s="1"/>
    </row>
    <row r="349" spans="1:28" s="4" customFormat="1" ht="20.149999999999999" customHeight="1" x14ac:dyDescent="0.35">
      <c r="A349" s="1"/>
      <c r="B349" s="39"/>
      <c r="C349" s="13"/>
      <c r="D349" s="13"/>
      <c r="E349" s="36"/>
      <c r="F349" s="43"/>
      <c r="G349" s="13"/>
      <c r="H349" s="13"/>
      <c r="I349" s="8"/>
      <c r="J349" s="39"/>
      <c r="K349" s="6"/>
      <c r="L349" s="6"/>
      <c r="M349" s="133"/>
      <c r="N349" s="10"/>
      <c r="O349" s="13"/>
      <c r="Q349" s="8"/>
      <c r="R349" s="155"/>
      <c r="S349" s="47"/>
      <c r="T349" s="1"/>
      <c r="U349" s="1"/>
      <c r="V349" s="5"/>
      <c r="W349" s="1"/>
      <c r="X349" s="1"/>
      <c r="Y349" s="1"/>
      <c r="Z349" s="1"/>
      <c r="AA349" s="1"/>
      <c r="AB349" s="1"/>
    </row>
    <row r="350" spans="1:28" s="4" customFormat="1" ht="20.149999999999999" customHeight="1" x14ac:dyDescent="0.35">
      <c r="A350" s="1"/>
      <c r="B350" s="39"/>
      <c r="C350" s="13"/>
      <c r="D350" s="13"/>
      <c r="E350" s="36"/>
      <c r="F350" s="43"/>
      <c r="G350" s="13"/>
      <c r="H350" s="13"/>
      <c r="I350" s="8"/>
      <c r="J350" s="39"/>
      <c r="K350" s="6"/>
      <c r="L350" s="6"/>
      <c r="M350" s="133"/>
      <c r="N350" s="10"/>
      <c r="O350" s="13"/>
      <c r="Q350" s="8"/>
      <c r="R350" s="155"/>
      <c r="S350" s="47"/>
      <c r="T350" s="1"/>
      <c r="U350" s="1"/>
      <c r="V350" s="5"/>
      <c r="W350" s="1"/>
      <c r="X350" s="1"/>
      <c r="Y350" s="1"/>
      <c r="Z350" s="1"/>
      <c r="AA350" s="1"/>
      <c r="AB350" s="1"/>
    </row>
    <row r="351" spans="1:28" s="4" customFormat="1" ht="20.149999999999999" customHeight="1" x14ac:dyDescent="0.35">
      <c r="A351" s="1"/>
      <c r="B351" s="39"/>
      <c r="C351" s="13"/>
      <c r="D351" s="13"/>
      <c r="E351" s="36"/>
      <c r="F351" s="43"/>
      <c r="G351" s="13"/>
      <c r="H351" s="13"/>
      <c r="I351" s="8"/>
      <c r="J351" s="39"/>
      <c r="K351" s="6"/>
      <c r="L351" s="6"/>
      <c r="M351" s="133"/>
      <c r="N351" s="10"/>
      <c r="O351" s="13"/>
      <c r="Q351" s="8"/>
      <c r="R351" s="155"/>
      <c r="S351" s="47"/>
      <c r="T351" s="1"/>
      <c r="U351" s="1"/>
      <c r="V351" s="5"/>
      <c r="W351" s="1"/>
      <c r="X351" s="1"/>
      <c r="Y351" s="1"/>
      <c r="Z351" s="1"/>
      <c r="AA351" s="1"/>
      <c r="AB351" s="1"/>
    </row>
    <row r="352" spans="1:28" s="4" customFormat="1" ht="20.149999999999999" customHeight="1" x14ac:dyDescent="0.35">
      <c r="A352" s="1"/>
      <c r="B352" s="39"/>
      <c r="C352" s="13"/>
      <c r="D352" s="13"/>
      <c r="E352" s="36"/>
      <c r="F352" s="43"/>
      <c r="G352" s="13"/>
      <c r="H352" s="13"/>
      <c r="I352" s="8"/>
      <c r="J352" s="39"/>
      <c r="K352" s="6"/>
      <c r="L352" s="6"/>
      <c r="M352" s="133"/>
      <c r="N352" s="10"/>
      <c r="O352" s="13"/>
      <c r="Q352" s="8"/>
      <c r="R352" s="155"/>
      <c r="S352" s="47"/>
      <c r="T352" s="1"/>
      <c r="U352" s="1"/>
      <c r="V352" s="5"/>
      <c r="W352" s="1"/>
      <c r="X352" s="1"/>
      <c r="Y352" s="1"/>
      <c r="Z352" s="1"/>
      <c r="AA352" s="1"/>
      <c r="AB352" s="1"/>
    </row>
    <row r="353" spans="1:28" s="4" customFormat="1" ht="20.149999999999999" customHeight="1" x14ac:dyDescent="0.35">
      <c r="A353" s="1"/>
      <c r="B353" s="39"/>
      <c r="C353" s="13"/>
      <c r="D353" s="13"/>
      <c r="E353" s="36"/>
      <c r="F353" s="43"/>
      <c r="G353" s="13"/>
      <c r="H353" s="13"/>
      <c r="I353" s="8"/>
      <c r="J353" s="39"/>
      <c r="K353" s="6"/>
      <c r="L353" s="6"/>
      <c r="M353" s="133"/>
      <c r="N353" s="10"/>
      <c r="O353" s="13"/>
      <c r="Q353" s="8"/>
      <c r="R353" s="155"/>
      <c r="S353" s="47"/>
      <c r="T353" s="1"/>
      <c r="U353" s="1"/>
      <c r="V353" s="5"/>
      <c r="W353" s="1"/>
      <c r="X353" s="1"/>
      <c r="Y353" s="1"/>
      <c r="Z353" s="1"/>
      <c r="AA353" s="1"/>
      <c r="AB353" s="1"/>
    </row>
    <row r="354" spans="1:28" s="4" customFormat="1" ht="20.149999999999999" customHeight="1" x14ac:dyDescent="0.35">
      <c r="A354" s="1"/>
      <c r="B354" s="39"/>
      <c r="C354" s="13"/>
      <c r="D354" s="13"/>
      <c r="E354" s="36"/>
      <c r="F354" s="43"/>
      <c r="G354" s="13"/>
      <c r="H354" s="13"/>
      <c r="I354" s="8"/>
      <c r="J354" s="39"/>
      <c r="K354" s="6"/>
      <c r="L354" s="6"/>
      <c r="M354" s="133"/>
      <c r="N354" s="10"/>
      <c r="O354" s="13"/>
      <c r="Q354" s="8"/>
      <c r="R354" s="155"/>
      <c r="S354" s="47"/>
      <c r="T354" s="1"/>
      <c r="U354" s="1"/>
      <c r="V354" s="5"/>
      <c r="W354" s="1"/>
      <c r="X354" s="1"/>
      <c r="Y354" s="1"/>
      <c r="Z354" s="1"/>
      <c r="AA354" s="1"/>
      <c r="AB354" s="1"/>
    </row>
    <row r="355" spans="1:28" s="4" customFormat="1" ht="20.149999999999999" customHeight="1" x14ac:dyDescent="0.35">
      <c r="A355" s="1"/>
      <c r="B355" s="39"/>
      <c r="C355" s="13"/>
      <c r="D355" s="13"/>
      <c r="E355" s="36"/>
      <c r="F355" s="43"/>
      <c r="G355" s="13"/>
      <c r="H355" s="13"/>
      <c r="I355" s="8"/>
      <c r="J355" s="39"/>
      <c r="K355" s="6"/>
      <c r="L355" s="6"/>
      <c r="M355" s="133"/>
      <c r="N355" s="10"/>
      <c r="O355" s="13"/>
      <c r="Q355" s="8"/>
      <c r="R355" s="155"/>
      <c r="S355" s="47"/>
      <c r="T355" s="1"/>
      <c r="U355" s="1"/>
      <c r="V355" s="5"/>
      <c r="W355" s="1"/>
      <c r="X355" s="1"/>
      <c r="Y355" s="1"/>
      <c r="Z355" s="1"/>
      <c r="AA355" s="1"/>
      <c r="AB355" s="1"/>
    </row>
    <row r="356" spans="1:28" s="4" customFormat="1" ht="20.149999999999999" customHeight="1" x14ac:dyDescent="0.35">
      <c r="A356" s="1"/>
      <c r="B356" s="39"/>
      <c r="C356" s="13"/>
      <c r="D356" s="13"/>
      <c r="E356" s="36"/>
      <c r="F356" s="43"/>
      <c r="G356" s="13"/>
      <c r="H356" s="13"/>
      <c r="I356" s="8"/>
      <c r="J356" s="39"/>
      <c r="K356" s="6"/>
      <c r="L356" s="6"/>
      <c r="M356" s="133"/>
      <c r="N356" s="10"/>
      <c r="O356" s="13"/>
      <c r="Q356" s="8"/>
      <c r="R356" s="155"/>
      <c r="S356" s="47"/>
      <c r="T356" s="1"/>
      <c r="U356" s="1"/>
      <c r="V356" s="5"/>
      <c r="W356" s="1"/>
      <c r="X356" s="1"/>
      <c r="Y356" s="1"/>
      <c r="Z356" s="1"/>
      <c r="AA356" s="1"/>
      <c r="AB356" s="1"/>
    </row>
    <row r="357" spans="1:28" s="4" customFormat="1" ht="20.149999999999999" customHeight="1" x14ac:dyDescent="0.35">
      <c r="A357" s="1"/>
      <c r="B357" s="39"/>
      <c r="C357" s="13"/>
      <c r="D357" s="13"/>
      <c r="E357" s="36"/>
      <c r="F357" s="43"/>
      <c r="G357" s="13"/>
      <c r="H357" s="13"/>
      <c r="I357" s="8"/>
      <c r="J357" s="39"/>
      <c r="K357" s="6"/>
      <c r="L357" s="6"/>
      <c r="M357" s="133"/>
      <c r="N357" s="10"/>
      <c r="O357" s="13"/>
      <c r="Q357" s="8"/>
      <c r="R357" s="155"/>
      <c r="S357" s="47"/>
      <c r="T357" s="1"/>
      <c r="U357" s="1"/>
      <c r="V357" s="5"/>
      <c r="W357" s="1"/>
      <c r="X357" s="1"/>
      <c r="Y357" s="1"/>
      <c r="Z357" s="1"/>
      <c r="AA357" s="1"/>
      <c r="AB357" s="1"/>
    </row>
    <row r="358" spans="1:28" s="4" customFormat="1" ht="20.149999999999999" customHeight="1" x14ac:dyDescent="0.35">
      <c r="A358" s="1"/>
      <c r="B358" s="39"/>
      <c r="C358" s="13"/>
      <c r="D358" s="13"/>
      <c r="E358" s="36"/>
      <c r="F358" s="43"/>
      <c r="G358" s="13"/>
      <c r="H358" s="13"/>
      <c r="I358" s="8"/>
      <c r="J358" s="39"/>
      <c r="K358" s="6"/>
      <c r="L358" s="6"/>
      <c r="M358" s="133"/>
      <c r="N358" s="10"/>
      <c r="O358" s="13"/>
      <c r="Q358" s="8"/>
      <c r="R358" s="155"/>
      <c r="S358" s="47"/>
      <c r="T358" s="1"/>
      <c r="U358" s="1"/>
      <c r="V358" s="5"/>
      <c r="W358" s="1"/>
      <c r="X358" s="1"/>
      <c r="Y358" s="1"/>
      <c r="Z358" s="1"/>
      <c r="AA358" s="1"/>
      <c r="AB358" s="1"/>
    </row>
    <row r="359" spans="1:28" s="4" customFormat="1" ht="20.149999999999999" customHeight="1" x14ac:dyDescent="0.35">
      <c r="A359" s="1"/>
      <c r="B359" s="39"/>
      <c r="C359" s="13"/>
      <c r="D359" s="13"/>
      <c r="E359" s="36"/>
      <c r="F359" s="43"/>
      <c r="G359" s="13"/>
      <c r="H359" s="13"/>
      <c r="I359" s="8"/>
      <c r="J359" s="39"/>
      <c r="K359" s="6"/>
      <c r="L359" s="6"/>
      <c r="M359" s="133"/>
      <c r="N359" s="10"/>
      <c r="O359" s="13"/>
      <c r="Q359" s="8"/>
      <c r="R359" s="155"/>
      <c r="S359" s="47"/>
      <c r="T359" s="1"/>
      <c r="U359" s="1"/>
      <c r="V359" s="5"/>
      <c r="W359" s="1"/>
      <c r="X359" s="1"/>
      <c r="Y359" s="1"/>
      <c r="Z359" s="1"/>
      <c r="AA359" s="1"/>
      <c r="AB359" s="1"/>
    </row>
  </sheetData>
  <mergeCells count="7">
    <mergeCell ref="A7:Q7"/>
    <mergeCell ref="T2:W2"/>
    <mergeCell ref="C3:E3"/>
    <mergeCell ref="A1:Q1"/>
    <mergeCell ref="A2:Q2"/>
    <mergeCell ref="G3:I3"/>
    <mergeCell ref="K3:Q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B26A-0823-46DE-9373-053E63D58EF3}">
  <dimension ref="A1:W355"/>
  <sheetViews>
    <sheetView topLeftCell="B1" zoomScale="90" zoomScaleNormal="90" workbookViewId="0">
      <pane ySplit="4" topLeftCell="A5" activePane="bottomLeft" state="frozen"/>
      <selection pane="bottomLeft" activeCell="O127" sqref="O127"/>
    </sheetView>
  </sheetViews>
  <sheetFormatPr defaultColWidth="9.1796875" defaultRowHeight="14.5" x14ac:dyDescent="0.35"/>
  <cols>
    <col min="1" max="1" width="15.7265625" style="1" customWidth="1"/>
    <col min="2" max="3" width="15.7265625" style="13" customWidth="1"/>
    <col min="4" max="4" width="15.7265625" style="4" customWidth="1"/>
    <col min="5" max="5" width="15.7265625" style="10" customWidth="1"/>
    <col min="6" max="6" width="15.7265625" style="4" customWidth="1"/>
    <col min="7" max="7" width="15.7265625" style="28" customWidth="1"/>
    <col min="8" max="8" width="15.7265625" style="13" customWidth="1"/>
    <col min="9" max="9" width="15.7265625" style="4" customWidth="1"/>
    <col min="10" max="10" width="15.7265625" style="141" customWidth="1"/>
    <col min="11" max="12" width="15.7265625" style="4" customWidth="1"/>
    <col min="13" max="13" width="1.453125" style="53" customWidth="1"/>
    <col min="14" max="14" width="12.453125" style="6" customWidth="1"/>
    <col min="15" max="15" width="13.453125" style="1" customWidth="1"/>
    <col min="16" max="16" width="12" style="1" bestFit="1" customWidth="1"/>
    <col min="17" max="17" width="10.54296875" style="5" customWidth="1"/>
    <col min="18" max="18" width="10.54296875" style="1" customWidth="1"/>
    <col min="19" max="19" width="9" style="1" customWidth="1"/>
    <col min="20" max="20" width="9.54296875" style="1" customWidth="1"/>
    <col min="21" max="16384" width="9.1796875" style="1"/>
  </cols>
  <sheetData>
    <row r="1" spans="1:20" ht="20.149999999999999" customHeight="1" x14ac:dyDescent="0.35">
      <c r="A1" s="160" t="s">
        <v>114</v>
      </c>
      <c r="B1" s="161"/>
      <c r="C1" s="161"/>
      <c r="D1" s="161"/>
      <c r="E1" s="161"/>
      <c r="F1" s="161"/>
      <c r="G1" s="161"/>
      <c r="H1" s="161"/>
      <c r="I1" s="161"/>
      <c r="J1" s="161"/>
      <c r="K1" s="52"/>
      <c r="L1" s="52"/>
    </row>
    <row r="2" spans="1:20" ht="20.149999999999999" customHeight="1" x14ac:dyDescent="0.35">
      <c r="A2" s="160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52"/>
      <c r="L2" s="52"/>
    </row>
    <row r="3" spans="1:20" s="7" customFormat="1" ht="48" customHeight="1" x14ac:dyDescent="0.35">
      <c r="A3" s="16" t="s">
        <v>9</v>
      </c>
      <c r="B3" s="24" t="s">
        <v>140</v>
      </c>
      <c r="C3" s="24" t="s">
        <v>140</v>
      </c>
      <c r="D3" s="17" t="s">
        <v>156</v>
      </c>
      <c r="E3" s="26" t="s">
        <v>13</v>
      </c>
      <c r="F3" s="17" t="s">
        <v>16</v>
      </c>
      <c r="G3" s="29" t="s">
        <v>66</v>
      </c>
      <c r="H3" s="27" t="s">
        <v>11</v>
      </c>
      <c r="I3" s="17" t="s">
        <v>113</v>
      </c>
      <c r="J3" s="139" t="s">
        <v>157</v>
      </c>
      <c r="K3" s="26" t="s">
        <v>141</v>
      </c>
      <c r="L3" s="26" t="s">
        <v>154</v>
      </c>
      <c r="M3" s="54"/>
      <c r="N3" s="136"/>
      <c r="O3" s="31"/>
      <c r="P3" s="9"/>
      <c r="Q3" s="3"/>
      <c r="R3" s="3"/>
      <c r="S3" s="31"/>
      <c r="T3" s="31"/>
    </row>
    <row r="4" spans="1:20" ht="20.149999999999999" customHeight="1" x14ac:dyDescent="0.35">
      <c r="A4" s="21"/>
      <c r="B4" s="25" t="s">
        <v>153</v>
      </c>
      <c r="C4" s="25" t="s">
        <v>153</v>
      </c>
      <c r="D4" s="22" t="s">
        <v>24</v>
      </c>
      <c r="E4" s="15" t="s">
        <v>23</v>
      </c>
      <c r="F4" s="22" t="s">
        <v>41</v>
      </c>
      <c r="G4" s="30" t="s">
        <v>14</v>
      </c>
      <c r="H4" s="25" t="s">
        <v>46</v>
      </c>
      <c r="I4" s="22" t="s">
        <v>35</v>
      </c>
      <c r="J4" s="140" t="s">
        <v>24</v>
      </c>
      <c r="K4" s="15" t="s">
        <v>116</v>
      </c>
      <c r="L4" s="15"/>
      <c r="O4" s="31"/>
      <c r="P4" s="31"/>
      <c r="R4" s="3"/>
      <c r="T4" s="31"/>
    </row>
    <row r="5" spans="1:20" ht="20.149999999999999" customHeight="1" x14ac:dyDescent="0.35">
      <c r="A5" s="1">
        <v>1980</v>
      </c>
      <c r="B5" s="13">
        <f>PARAMETERS!B12</f>
        <v>375</v>
      </c>
      <c r="C5" s="13">
        <f>PARAMETERS!B12/4</f>
        <v>93.75</v>
      </c>
      <c r="D5" s="4">
        <f>(4/PARAMETERS!$B$6)*C5/B5</f>
        <v>33.333333333333336</v>
      </c>
      <c r="E5" s="10">
        <f>PARAMETERS!$B$4*B5</f>
        <v>28.125</v>
      </c>
      <c r="F5" s="4">
        <f>PARAMETERS!B6</f>
        <v>0.03</v>
      </c>
      <c r="G5" s="28">
        <f>PARAMETERS!$B$7*E5^PARAMETERS!$B$8</f>
        <v>5.3344771522391206</v>
      </c>
      <c r="H5" s="13">
        <f>PARAMETERS!B13</f>
        <v>283.517</v>
      </c>
      <c r="I5" s="4">
        <f>PARAMETERS!$B$9*H5</f>
        <v>0.62084014598540149</v>
      </c>
      <c r="J5" s="141">
        <f>MAX(1/D5,1/D5+PARAMETERS!$B$10*(I5-PARAMETERS!$B$11))</f>
        <v>0.03</v>
      </c>
      <c r="K5" s="4">
        <f>PARAMETERS!$B$5</f>
        <v>0.8</v>
      </c>
      <c r="L5" s="4">
        <f>PARAMETERS!$B$4/ADAPTATION!J5</f>
        <v>2.5</v>
      </c>
      <c r="O5" s="150"/>
      <c r="Q5" s="135"/>
    </row>
    <row r="6" spans="1:20" ht="20.149999999999999" customHeight="1" x14ac:dyDescent="0.35">
      <c r="A6" s="1">
        <f>A5+1</f>
        <v>1981</v>
      </c>
      <c r="B6" s="13">
        <f t="shared" ref="B6:B37" si="0">B5+K5*E5-J5*B5</f>
        <v>386.25</v>
      </c>
      <c r="C6" s="13">
        <f>C5+(1-K5)*E5-J5*C5</f>
        <v>96.5625</v>
      </c>
      <c r="D6" s="4">
        <f>(4/PARAMETERS!$B$6)*C6/B6</f>
        <v>33.333333333333336</v>
      </c>
      <c r="E6" s="10">
        <f>PARAMETERS!$B$4*B6</f>
        <v>28.96875</v>
      </c>
      <c r="F6" s="4">
        <f>(E6-E5)/E5</f>
        <v>0.03</v>
      </c>
      <c r="G6" s="28">
        <f>PARAMETERS!$B$7*E6^PARAMETERS!$B$8</f>
        <v>5.4192399291888211</v>
      </c>
      <c r="H6" s="13">
        <f>H5+G5+PARAMETERS!$B$14</f>
        <v>290.35147715223911</v>
      </c>
      <c r="I6" s="4">
        <f>PARAMETERS!$B$9*H6</f>
        <v>0.63580615434796894</v>
      </c>
      <c r="J6" s="141">
        <f>MAX(1/D6,1/D6+PARAMETERS!$B$10*(I6-PARAMETERS!$B$11))</f>
        <v>0.03</v>
      </c>
      <c r="K6" s="4">
        <f>MAX(0,ADAPTATION!K5-PARAMETERS!$B$17*(PARAMETERS!$B$16-ADAPTATION!L5))</f>
        <v>0.8</v>
      </c>
      <c r="L6" s="4">
        <f>PARAMETERS!$B$4/ADAPTATION!J6</f>
        <v>2.5</v>
      </c>
      <c r="O6" s="10"/>
      <c r="Q6" s="135"/>
    </row>
    <row r="7" spans="1:20" ht="20.149999999999999" customHeight="1" x14ac:dyDescent="0.35">
      <c r="A7" s="1">
        <f>A6+1</f>
        <v>1982</v>
      </c>
      <c r="B7" s="13">
        <f t="shared" si="0"/>
        <v>397.83750000000003</v>
      </c>
      <c r="C7" s="13">
        <f t="shared" ref="C7:C70" si="1">C6+(1-K6)*E6-J6*C6</f>
        <v>99.459375000000009</v>
      </c>
      <c r="D7" s="4">
        <f>(4/PARAMETERS!$B$6)*C7/B7</f>
        <v>33.333333333333336</v>
      </c>
      <c r="E7" s="10">
        <f>PARAMETERS!$B$4*B7</f>
        <v>29.837812500000002</v>
      </c>
      <c r="F7" s="4">
        <f t="shared" ref="F7:F70" si="2">(E7-E6)/E6</f>
        <v>3.0000000000000065E-2</v>
      </c>
      <c r="G7" s="28">
        <f>PARAMETERS!$B$7*E7^PARAMETERS!$B$8</f>
        <v>5.5053495538522137</v>
      </c>
      <c r="H7" s="13">
        <f>H6+G6+PARAMETERS!$B$14</f>
        <v>297.27071708142796</v>
      </c>
      <c r="I7" s="4">
        <f>PARAMETERS!$B$9*H7</f>
        <v>0.65095777463086424</v>
      </c>
      <c r="J7" s="141">
        <f>MAX(1/D7,1/D7+PARAMETERS!$B$10*(I7-PARAMETERS!$B$11))</f>
        <v>0.03</v>
      </c>
      <c r="K7" s="4">
        <f>MAX(0,ADAPTATION!K6-PARAMETERS!$B$17*(PARAMETERS!$B$16-ADAPTATION!L6))</f>
        <v>0.8</v>
      </c>
      <c r="L7" s="4">
        <f>PARAMETERS!$B$4/ADAPTATION!J7</f>
        <v>2.5</v>
      </c>
      <c r="O7" s="10"/>
      <c r="Q7" s="135"/>
    </row>
    <row r="8" spans="1:20" ht="20.149999999999999" customHeight="1" x14ac:dyDescent="0.35">
      <c r="A8" s="1">
        <f>A7+1</f>
        <v>1983</v>
      </c>
      <c r="B8" s="13">
        <f t="shared" si="0"/>
        <v>409.77262500000001</v>
      </c>
      <c r="C8" s="13">
        <f t="shared" si="1"/>
        <v>102.44315625</v>
      </c>
      <c r="D8" s="4">
        <f>(4/PARAMETERS!$B$6)*C8/B8</f>
        <v>33.333333333333336</v>
      </c>
      <c r="E8" s="10">
        <f>PARAMETERS!$B$4*B8</f>
        <v>30.732946875</v>
      </c>
      <c r="F8" s="4">
        <f t="shared" si="2"/>
        <v>2.9999999999999926E-2</v>
      </c>
      <c r="G8" s="28">
        <f>PARAMETERS!$B$7*E8^PARAMETERS!$B$8</f>
        <v>5.592827427118098</v>
      </c>
      <c r="H8" s="13">
        <f>H7+G7+PARAMETERS!$B$14</f>
        <v>304.27606663528019</v>
      </c>
      <c r="I8" s="4">
        <f>PARAMETERS!$B$9*H8</f>
        <v>0.66629795613565013</v>
      </c>
      <c r="J8" s="141">
        <f>MAX(1/D8,1/D8+PARAMETERS!$B$10*(I8-PARAMETERS!$B$11))</f>
        <v>0.03</v>
      </c>
      <c r="K8" s="4">
        <f>MAX(0,ADAPTATION!K7-PARAMETERS!$B$17*(PARAMETERS!$B$16-ADAPTATION!L7))</f>
        <v>0.8</v>
      </c>
      <c r="L8" s="4">
        <f>PARAMETERS!$B$4/ADAPTATION!J8</f>
        <v>2.5</v>
      </c>
      <c r="O8" s="10"/>
      <c r="Q8" s="135"/>
    </row>
    <row r="9" spans="1:20" ht="20.149999999999999" customHeight="1" x14ac:dyDescent="0.35">
      <c r="A9" s="1">
        <f t="shared" ref="A9:A72" si="3">A8+1</f>
        <v>1984</v>
      </c>
      <c r="B9" s="13">
        <f t="shared" si="0"/>
        <v>422.06580375000004</v>
      </c>
      <c r="C9" s="13">
        <f t="shared" si="1"/>
        <v>105.51645093750001</v>
      </c>
      <c r="D9" s="4">
        <f>(4/PARAMETERS!$B$6)*C9/B9</f>
        <v>33.333333333333336</v>
      </c>
      <c r="E9" s="10">
        <f>PARAMETERS!$B$4*B9</f>
        <v>31.654935281250001</v>
      </c>
      <c r="F9" s="4">
        <f t="shared" si="2"/>
        <v>3.0000000000000047E-2</v>
      </c>
      <c r="G9" s="28">
        <f>PARAMETERS!$B$7*E9^PARAMETERS!$B$8</f>
        <v>5.6816952899271085</v>
      </c>
      <c r="H9" s="13">
        <f>H8+G8+PARAMETERS!$B$14</f>
        <v>311.36889406239828</v>
      </c>
      <c r="I9" s="4">
        <f>PARAMETERS!$B$9*H9</f>
        <v>0.68182969502714963</v>
      </c>
      <c r="J9" s="141">
        <f>MAX(1/D9,1/D9+PARAMETERS!$B$10*(I9-PARAMETERS!$B$11))</f>
        <v>0.03</v>
      </c>
      <c r="K9" s="4">
        <f>MAX(0,ADAPTATION!K8-PARAMETERS!$B$17*(PARAMETERS!$B$16-ADAPTATION!L8))</f>
        <v>0.8</v>
      </c>
      <c r="L9" s="4">
        <f>PARAMETERS!$B$4/ADAPTATION!J9</f>
        <v>2.5</v>
      </c>
      <c r="O9" s="10"/>
      <c r="Q9" s="135"/>
    </row>
    <row r="10" spans="1:20" ht="20.149999999999999" customHeight="1" x14ac:dyDescent="0.35">
      <c r="A10" s="1">
        <f t="shared" si="3"/>
        <v>1985</v>
      </c>
      <c r="B10" s="13">
        <f t="shared" si="0"/>
        <v>434.72777786250003</v>
      </c>
      <c r="C10" s="13">
        <f t="shared" si="1"/>
        <v>108.68194446562501</v>
      </c>
      <c r="D10" s="4">
        <f>(4/PARAMETERS!$B$6)*C10/B10</f>
        <v>33.333333333333336</v>
      </c>
      <c r="E10" s="10">
        <f>PARAMETERS!$B$4*B10</f>
        <v>32.604583339687501</v>
      </c>
      <c r="F10" s="4">
        <f t="shared" si="2"/>
        <v>0.03</v>
      </c>
      <c r="G10" s="28">
        <f>PARAMETERS!$B$7*E10^PARAMETERS!$B$8</f>
        <v>5.7719752286750179</v>
      </c>
      <c r="H10" s="13">
        <f>H9+G9+PARAMETERS!$B$14</f>
        <v>318.5505893523254</v>
      </c>
      <c r="I10" s="4">
        <f>PARAMETERS!$B$9*H10</f>
        <v>0.69755603507808484</v>
      </c>
      <c r="J10" s="141">
        <f>MAX(1/D10,1/D10+PARAMETERS!$B$10*(I10-PARAMETERS!$B$11))</f>
        <v>0.03</v>
      </c>
      <c r="K10" s="4">
        <f>MAX(0,ADAPTATION!K9-PARAMETERS!$B$17*(PARAMETERS!$B$16-ADAPTATION!L9))</f>
        <v>0.8</v>
      </c>
      <c r="L10" s="4">
        <f>PARAMETERS!$B$4/ADAPTATION!J10</f>
        <v>2.5</v>
      </c>
      <c r="O10" s="10"/>
      <c r="Q10" s="135"/>
    </row>
    <row r="11" spans="1:20" ht="20.149999999999999" customHeight="1" x14ac:dyDescent="0.35">
      <c r="A11" s="1">
        <f t="shared" si="3"/>
        <v>1986</v>
      </c>
      <c r="B11" s="13">
        <f t="shared" si="0"/>
        <v>447.769611198375</v>
      </c>
      <c r="C11" s="13">
        <f t="shared" si="1"/>
        <v>111.94240279959375</v>
      </c>
      <c r="D11" s="4">
        <f>(4/PARAMETERS!$B$6)*C11/B11</f>
        <v>33.333333333333336</v>
      </c>
      <c r="E11" s="10">
        <f>PARAMETERS!$B$4*B11</f>
        <v>33.582720839878121</v>
      </c>
      <c r="F11" s="4">
        <f t="shared" si="2"/>
        <v>2.9999999999999839E-2</v>
      </c>
      <c r="G11" s="28">
        <f>PARAMETERS!$B$7*E11^PARAMETERS!$B$8</f>
        <v>5.8636896807018708</v>
      </c>
      <c r="H11" s="13">
        <f>H10+G10+PARAMETERS!$B$14</f>
        <v>325.82256458100039</v>
      </c>
      <c r="I11" s="4">
        <f>PARAMETERS!$B$9*H11</f>
        <v>0.71348006842554834</v>
      </c>
      <c r="J11" s="141">
        <f>MAX(1/D11,1/D11+PARAMETERS!$B$10*(I11-PARAMETERS!$B$11))</f>
        <v>0.03</v>
      </c>
      <c r="K11" s="4">
        <f>MAX(0,ADAPTATION!K10-PARAMETERS!$B$17*(PARAMETERS!$B$16-ADAPTATION!L10))</f>
        <v>0.8</v>
      </c>
      <c r="L11" s="4">
        <f>PARAMETERS!$B$4/ADAPTATION!J11</f>
        <v>2.5</v>
      </c>
      <c r="O11" s="10"/>
      <c r="Q11" s="135"/>
    </row>
    <row r="12" spans="1:20" ht="20.149999999999999" customHeight="1" x14ac:dyDescent="0.35">
      <c r="A12" s="1">
        <f t="shared" si="3"/>
        <v>1987</v>
      </c>
      <c r="B12" s="13">
        <f t="shared" si="0"/>
        <v>461.20269953432626</v>
      </c>
      <c r="C12" s="13">
        <f t="shared" si="1"/>
        <v>115.30067488358156</v>
      </c>
      <c r="D12" s="4">
        <f>(4/PARAMETERS!$B$6)*C12/B12</f>
        <v>33.333333333333336</v>
      </c>
      <c r="E12" s="10">
        <f>PARAMETERS!$B$4*B12</f>
        <v>34.590202465074469</v>
      </c>
      <c r="F12" s="4">
        <f t="shared" si="2"/>
        <v>3.0000000000000141E-2</v>
      </c>
      <c r="G12" s="28">
        <f>PARAMETERS!$B$7*E12^PARAMETERS!$B$8</f>
        <v>5.9568614398683692</v>
      </c>
      <c r="H12" s="13">
        <f>H11+G11+PARAMETERS!$B$14</f>
        <v>333.18625426170229</v>
      </c>
      <c r="I12" s="4">
        <f>PARAMETERS!$B$9*H12</f>
        <v>0.72960493633949408</v>
      </c>
      <c r="J12" s="141">
        <f>MAX(1/D12,1/D12+PARAMETERS!$B$10*(I12-PARAMETERS!$B$11))</f>
        <v>0.03</v>
      </c>
      <c r="K12" s="4">
        <f>MAX(0,ADAPTATION!K11-PARAMETERS!$B$17*(PARAMETERS!$B$16-ADAPTATION!L11))</f>
        <v>0.8</v>
      </c>
      <c r="L12" s="4">
        <f>PARAMETERS!$B$4/ADAPTATION!J12</f>
        <v>2.5</v>
      </c>
      <c r="O12" s="10"/>
      <c r="Q12" s="135"/>
    </row>
    <row r="13" spans="1:20" ht="20.149999999999999" customHeight="1" x14ac:dyDescent="0.35">
      <c r="A13" s="1">
        <f t="shared" si="3"/>
        <v>1988</v>
      </c>
      <c r="B13" s="13">
        <f t="shared" si="0"/>
        <v>475.03878052035606</v>
      </c>
      <c r="C13" s="13">
        <f t="shared" si="1"/>
        <v>118.75969513008901</v>
      </c>
      <c r="D13" s="4">
        <f>(4/PARAMETERS!$B$6)*C13/B13</f>
        <v>33.333333333333336</v>
      </c>
      <c r="E13" s="10">
        <f>PARAMETERS!$B$4*B13</f>
        <v>35.627908539026706</v>
      </c>
      <c r="F13" s="4">
        <f t="shared" si="2"/>
        <v>3.0000000000000065E-2</v>
      </c>
      <c r="G13" s="28">
        <f>PARAMETERS!$B$7*E13^PARAMETERS!$B$8</f>
        <v>6.0515136622208274</v>
      </c>
      <c r="H13" s="13">
        <f>H12+G12+PARAMETERS!$B$14</f>
        <v>340.64311570157065</v>
      </c>
      <c r="I13" s="4">
        <f>PARAMETERS!$B$9*H13</f>
        <v>0.74593383000343949</v>
      </c>
      <c r="J13" s="141">
        <f>MAX(1/D13,1/D13+PARAMETERS!$B$10*(I13-PARAMETERS!$B$11))</f>
        <v>0.03</v>
      </c>
      <c r="K13" s="4">
        <f>MAX(0,ADAPTATION!K12-PARAMETERS!$B$17*(PARAMETERS!$B$16-ADAPTATION!L12))</f>
        <v>0.8</v>
      </c>
      <c r="L13" s="4">
        <f>PARAMETERS!$B$4/ADAPTATION!J13</f>
        <v>2.5</v>
      </c>
      <c r="O13" s="10"/>
      <c r="Q13" s="135"/>
    </row>
    <row r="14" spans="1:20" ht="20.149999999999999" customHeight="1" x14ac:dyDescent="0.35">
      <c r="A14" s="1">
        <f t="shared" si="3"/>
        <v>1989</v>
      </c>
      <c r="B14" s="13">
        <f t="shared" si="0"/>
        <v>489.28994393596673</v>
      </c>
      <c r="C14" s="13">
        <f t="shared" si="1"/>
        <v>122.32248598399168</v>
      </c>
      <c r="D14" s="4">
        <f>(4/PARAMETERS!$B$6)*C14/B14</f>
        <v>33.333333333333336</v>
      </c>
      <c r="E14" s="10">
        <f>PARAMETERS!$B$4*B14</f>
        <v>36.696745795197501</v>
      </c>
      <c r="F14" s="4">
        <f t="shared" si="2"/>
        <v>2.9999999999999829E-2</v>
      </c>
      <c r="G14" s="28">
        <f>PARAMETERS!$B$7*E14^PARAMETERS!$B$8</f>
        <v>6.1476698717461762</v>
      </c>
      <c r="H14" s="13">
        <f>H13+G13+PARAMETERS!$B$14</f>
        <v>348.19462936379148</v>
      </c>
      <c r="I14" s="4">
        <f>PARAMETERS!$B$9*H14</f>
        <v>0.76246999130757265</v>
      </c>
      <c r="J14" s="141">
        <f>MAX(1/D14,1/D14+PARAMETERS!$B$10*(I14-PARAMETERS!$B$11))</f>
        <v>0.03</v>
      </c>
      <c r="K14" s="4">
        <f>MAX(0,ADAPTATION!K13-PARAMETERS!$B$17*(PARAMETERS!$B$16-ADAPTATION!L13))</f>
        <v>0.8</v>
      </c>
      <c r="L14" s="4">
        <f>PARAMETERS!$B$4/ADAPTATION!J14</f>
        <v>2.5</v>
      </c>
      <c r="O14" s="10"/>
      <c r="Q14" s="135"/>
    </row>
    <row r="15" spans="1:20" ht="20.149999999999999" customHeight="1" x14ac:dyDescent="0.35">
      <c r="A15" s="1">
        <f t="shared" si="3"/>
        <v>1990</v>
      </c>
      <c r="B15" s="13">
        <f t="shared" si="0"/>
        <v>503.96864225404568</v>
      </c>
      <c r="C15" s="13">
        <f t="shared" si="1"/>
        <v>125.99216056351142</v>
      </c>
      <c r="D15" s="4">
        <f>(4/PARAMETERS!$B$6)*C15/B15</f>
        <v>33.333333333333336</v>
      </c>
      <c r="E15" s="10">
        <f>PARAMETERS!$B$4*B15</f>
        <v>37.797648169053424</v>
      </c>
      <c r="F15" s="4">
        <f t="shared" si="2"/>
        <v>2.9999999999999961E-2</v>
      </c>
      <c r="G15" s="28">
        <f>PARAMETERS!$B$7*E15^PARAMETERS!$B$8</f>
        <v>6.2453539662183974</v>
      </c>
      <c r="H15" s="13">
        <f>H14+G14+PARAMETERS!$B$14</f>
        <v>355.84229923553767</v>
      </c>
      <c r="I15" s="4">
        <f>PARAMETERS!$B$9*H15</f>
        <v>0.7792167136544621</v>
      </c>
      <c r="J15" s="141">
        <f>MAX(1/D15,1/D15+PARAMETERS!$B$10*(I15-PARAMETERS!$B$11))</f>
        <v>0.03</v>
      </c>
      <c r="K15" s="4">
        <f>MAX(0,ADAPTATION!K14-PARAMETERS!$B$17*(PARAMETERS!$B$16-ADAPTATION!L14))</f>
        <v>0.8</v>
      </c>
      <c r="L15" s="4">
        <f>PARAMETERS!$B$4/ADAPTATION!J15</f>
        <v>2.5</v>
      </c>
      <c r="O15" s="10"/>
      <c r="Q15" s="135"/>
    </row>
    <row r="16" spans="1:20" ht="20.149999999999999" customHeight="1" x14ac:dyDescent="0.35">
      <c r="A16" s="1">
        <f t="shared" si="3"/>
        <v>1991</v>
      </c>
      <c r="B16" s="13">
        <f t="shared" si="0"/>
        <v>519.08770152166699</v>
      </c>
      <c r="C16" s="13">
        <f t="shared" si="1"/>
        <v>129.77192538041675</v>
      </c>
      <c r="D16" s="4">
        <f>(4/PARAMETERS!$B$6)*C16/B16</f>
        <v>33.333333333333336</v>
      </c>
      <c r="E16" s="10">
        <f>PARAMETERS!$B$4*B16</f>
        <v>38.931577614125025</v>
      </c>
      <c r="F16" s="4">
        <f t="shared" si="2"/>
        <v>2.9999999999999957E-2</v>
      </c>
      <c r="G16" s="28">
        <f>PARAMETERS!$B$7*E16^PARAMETERS!$B$8</f>
        <v>6.3445902231378435</v>
      </c>
      <c r="H16" s="13">
        <f>H15+G15+PARAMETERS!$B$14</f>
        <v>363.58765320175604</v>
      </c>
      <c r="I16" s="4">
        <f>PARAMETERS!$B$9*H16</f>
        <v>0.79617734277756802</v>
      </c>
      <c r="J16" s="141">
        <f>MAX(1/D16,1/D16+PARAMETERS!$B$10*(I16-PARAMETERS!$B$11))</f>
        <v>0.03</v>
      </c>
      <c r="K16" s="4">
        <f>MAX(0,ADAPTATION!K15-PARAMETERS!$B$17*(PARAMETERS!$B$16-ADAPTATION!L15))</f>
        <v>0.8</v>
      </c>
      <c r="L16" s="4">
        <f>PARAMETERS!$B$4/ADAPTATION!J16</f>
        <v>2.5</v>
      </c>
      <c r="O16" s="10"/>
      <c r="Q16" s="135"/>
    </row>
    <row r="17" spans="1:17" ht="20.149999999999999" customHeight="1" x14ac:dyDescent="0.35">
      <c r="A17" s="1">
        <f t="shared" si="3"/>
        <v>1992</v>
      </c>
      <c r="B17" s="13">
        <f t="shared" si="0"/>
        <v>534.66033256731691</v>
      </c>
      <c r="C17" s="13">
        <f t="shared" si="1"/>
        <v>133.66508314182923</v>
      </c>
      <c r="D17" s="4">
        <f>(4/PARAMETERS!$B$6)*C17/B17</f>
        <v>33.333333333333336</v>
      </c>
      <c r="E17" s="10">
        <f>PARAMETERS!$B$4*B17</f>
        <v>40.099524942548769</v>
      </c>
      <c r="F17" s="4">
        <f t="shared" si="2"/>
        <v>2.9999999999999805E-2</v>
      </c>
      <c r="G17" s="28">
        <f>PARAMETERS!$B$7*E17^PARAMETERS!$B$8</f>
        <v>6.4454033057649482</v>
      </c>
      <c r="H17" s="13">
        <f>H16+G16+PARAMETERS!$B$14</f>
        <v>371.4322434248939</v>
      </c>
      <c r="I17" s="4">
        <f>PARAMETERS!$B$9*H17</f>
        <v>0.81335527757276038</v>
      </c>
      <c r="J17" s="141">
        <f>MAX(1/D17,1/D17+PARAMETERS!$B$10*(I17-PARAMETERS!$B$11))</f>
        <v>0.03</v>
      </c>
      <c r="K17" s="4">
        <f>MAX(0,ADAPTATION!K16-PARAMETERS!$B$17*(PARAMETERS!$B$16-ADAPTATION!L16))</f>
        <v>0.8</v>
      </c>
      <c r="L17" s="4">
        <f>PARAMETERS!$B$4/ADAPTATION!J17</f>
        <v>2.5</v>
      </c>
      <c r="O17" s="10"/>
      <c r="Q17" s="135"/>
    </row>
    <row r="18" spans="1:17" ht="20.149999999999999" customHeight="1" x14ac:dyDescent="0.35">
      <c r="A18" s="1">
        <f t="shared" si="3"/>
        <v>1993</v>
      </c>
      <c r="B18" s="13">
        <f t="shared" si="0"/>
        <v>550.70014254433636</v>
      </c>
      <c r="C18" s="13">
        <f t="shared" si="1"/>
        <v>137.67503563608409</v>
      </c>
      <c r="D18" s="4">
        <f>(4/PARAMETERS!$B$6)*C18/B18</f>
        <v>33.333333333333336</v>
      </c>
      <c r="E18" s="10">
        <f>PARAMETERS!$B$4*B18</f>
        <v>41.302510690825223</v>
      </c>
      <c r="F18" s="4">
        <f t="shared" si="2"/>
        <v>2.9999999999999777E-2</v>
      </c>
      <c r="G18" s="28">
        <f>PARAMETERS!$B$7*E18^PARAMETERS!$B$8</f>
        <v>6.5478182692498148</v>
      </c>
      <c r="H18" s="13">
        <f>H17+G17+PARAMETERS!$B$14</f>
        <v>379.37764673065885</v>
      </c>
      <c r="I18" s="4">
        <f>PARAMETERS!$B$9*H18</f>
        <v>0.8307539709430487</v>
      </c>
      <c r="J18" s="141">
        <f>MAX(1/D18,1/D18+PARAMETERS!$B$10*(I18-PARAMETERS!$B$11))</f>
        <v>0.03</v>
      </c>
      <c r="K18" s="4">
        <f>MAX(0,ADAPTATION!K17-PARAMETERS!$B$17*(PARAMETERS!$B$16-ADAPTATION!L17))</f>
        <v>0.8</v>
      </c>
      <c r="L18" s="4">
        <f>PARAMETERS!$B$4/ADAPTATION!J18</f>
        <v>2.5</v>
      </c>
      <c r="O18" s="10"/>
      <c r="Q18" s="135"/>
    </row>
    <row r="19" spans="1:17" ht="20.149999999999999" customHeight="1" x14ac:dyDescent="0.35">
      <c r="A19" s="1">
        <f t="shared" si="3"/>
        <v>1994</v>
      </c>
      <c r="B19" s="13">
        <f t="shared" si="0"/>
        <v>567.22114682066638</v>
      </c>
      <c r="C19" s="13">
        <f t="shared" si="1"/>
        <v>141.80528670516659</v>
      </c>
      <c r="D19" s="4">
        <f>(4/PARAMETERS!$B$6)*C19/B19</f>
        <v>33.333333333333336</v>
      </c>
      <c r="E19" s="10">
        <f>PARAMETERS!$B$4*B19</f>
        <v>42.541586011549974</v>
      </c>
      <c r="F19" s="4">
        <f t="shared" si="2"/>
        <v>2.9999999999999871E-2</v>
      </c>
      <c r="G19" s="28">
        <f>PARAMETERS!$B$7*E19^PARAMETERS!$B$8</f>
        <v>6.6518605668591784</v>
      </c>
      <c r="H19" s="13">
        <f>H18+G18+PARAMETERS!$B$14</f>
        <v>387.42546499990868</v>
      </c>
      <c r="I19" s="4">
        <f>PARAMETERS!$B$9*H19</f>
        <v>0.84837693065673436</v>
      </c>
      <c r="J19" s="141">
        <f>MAX(1/D19,1/D19+PARAMETERS!$B$10*(I19-PARAMETERS!$B$11))</f>
        <v>0.03</v>
      </c>
      <c r="K19" s="4">
        <f>MAX(0,ADAPTATION!K18-PARAMETERS!$B$17*(PARAMETERS!$B$16-ADAPTATION!L18))</f>
        <v>0.8</v>
      </c>
      <c r="L19" s="4">
        <f>PARAMETERS!$B$4/ADAPTATION!J19</f>
        <v>2.5</v>
      </c>
      <c r="O19" s="10"/>
      <c r="Q19" s="135"/>
    </row>
    <row r="20" spans="1:17" ht="20.149999999999999" customHeight="1" x14ac:dyDescent="0.35">
      <c r="A20" s="1">
        <f t="shared" si="3"/>
        <v>1995</v>
      </c>
      <c r="B20" s="13">
        <f t="shared" si="0"/>
        <v>584.23778122528643</v>
      </c>
      <c r="C20" s="13">
        <f t="shared" si="1"/>
        <v>146.05944530632161</v>
      </c>
      <c r="D20" s="4">
        <f>(4/PARAMETERS!$B$6)*C20/B20</f>
        <v>33.333333333333336</v>
      </c>
      <c r="E20" s="10">
        <f>PARAMETERS!$B$4*B20</f>
        <v>43.817833591896481</v>
      </c>
      <c r="F20" s="4">
        <f t="shared" si="2"/>
        <v>3.0000000000000172E-2</v>
      </c>
      <c r="G20" s="28">
        <f>PARAMETERS!$B$7*E20^PARAMETERS!$B$8</f>
        <v>6.7575560563023265</v>
      </c>
      <c r="H20" s="13">
        <f>H19+G19+PARAMETERS!$B$14</f>
        <v>395.57732556676785</v>
      </c>
      <c r="I20" s="4">
        <f>PARAMETERS!$B$9*H20</f>
        <v>0.8662277202191998</v>
      </c>
      <c r="J20" s="141">
        <f>MAX(1/D20,1/D20+PARAMETERS!$B$10*(I20-PARAMETERS!$B$11))</f>
        <v>0.03</v>
      </c>
      <c r="K20" s="4">
        <f>MAX(0,ADAPTATION!K19-PARAMETERS!$B$17*(PARAMETERS!$B$16-ADAPTATION!L19))</f>
        <v>0.8</v>
      </c>
      <c r="L20" s="4">
        <f>PARAMETERS!$B$4/ADAPTATION!J20</f>
        <v>2.5</v>
      </c>
      <c r="O20" s="10"/>
      <c r="Q20" s="135"/>
    </row>
    <row r="21" spans="1:17" ht="20.149999999999999" customHeight="1" x14ac:dyDescent="0.35">
      <c r="A21" s="1">
        <f t="shared" si="3"/>
        <v>1996</v>
      </c>
      <c r="B21" s="13">
        <f t="shared" si="0"/>
        <v>601.76491466204504</v>
      </c>
      <c r="C21" s="13">
        <f t="shared" si="1"/>
        <v>150.44122866551126</v>
      </c>
      <c r="D21" s="4">
        <f>(4/PARAMETERS!$B$6)*C21/B21</f>
        <v>33.333333333333336</v>
      </c>
      <c r="E21" s="10">
        <f>PARAMETERS!$B$4*B21</f>
        <v>45.132368599653375</v>
      </c>
      <c r="F21" s="4">
        <f t="shared" si="2"/>
        <v>3.0000000000000013E-2</v>
      </c>
      <c r="G21" s="28">
        <f>PARAMETERS!$B$7*E21^PARAMETERS!$B$8</f>
        <v>6.8649310061575415</v>
      </c>
      <c r="H21" s="13">
        <f>H20+G20+PARAMETERS!$B$14</f>
        <v>403.8348816230702</v>
      </c>
      <c r="I21" s="4">
        <f>PARAMETERS!$B$9*H21</f>
        <v>0.88430995975854798</v>
      </c>
      <c r="J21" s="141">
        <f>MAX(1/D21,1/D21+PARAMETERS!$B$10*(I21-PARAMETERS!$B$11))</f>
        <v>0.03</v>
      </c>
      <c r="K21" s="4">
        <f>MAX(0,ADAPTATION!K20-PARAMETERS!$B$17*(PARAMETERS!$B$16-ADAPTATION!L20))</f>
        <v>0.8</v>
      </c>
      <c r="L21" s="4">
        <f>PARAMETERS!$B$4/ADAPTATION!J21</f>
        <v>2.5</v>
      </c>
      <c r="O21" s="10"/>
      <c r="Q21" s="135" t="s">
        <v>49</v>
      </c>
    </row>
    <row r="22" spans="1:17" ht="20.149999999999999" customHeight="1" x14ac:dyDescent="0.35">
      <c r="A22" s="1">
        <f t="shared" si="3"/>
        <v>1997</v>
      </c>
      <c r="B22" s="13">
        <f t="shared" si="0"/>
        <v>619.81786210190637</v>
      </c>
      <c r="C22" s="13">
        <f t="shared" si="1"/>
        <v>154.95446552547659</v>
      </c>
      <c r="D22" s="4">
        <f>(4/PARAMETERS!$B$6)*C22/B22</f>
        <v>33.333333333333336</v>
      </c>
      <c r="E22" s="10">
        <f>PARAMETERS!$B$4*B22</f>
        <v>46.486339657642979</v>
      </c>
      <c r="F22" s="4">
        <f t="shared" si="2"/>
        <v>3.0000000000000058E-2</v>
      </c>
      <c r="G22" s="28">
        <f>PARAMETERS!$B$7*E22^PARAMETERS!$B$8</f>
        <v>6.9740121024006436</v>
      </c>
      <c r="H22" s="13">
        <f>H21+G21+PARAMETERS!$B$14</f>
        <v>412.19981262922772</v>
      </c>
      <c r="I22" s="4">
        <f>PARAMETERS!$B$9*H22</f>
        <v>0.90262732692531622</v>
      </c>
      <c r="J22" s="141">
        <f>MAX(1/D22,1/D22+PARAMETERS!$B$10*(I22-PARAMETERS!$B$11))</f>
        <v>0.03</v>
      </c>
      <c r="K22" s="4">
        <f>MAX(0,ADAPTATION!K21-PARAMETERS!$B$17*(PARAMETERS!$B$16-ADAPTATION!L21))</f>
        <v>0.8</v>
      </c>
      <c r="L22" s="4">
        <f>PARAMETERS!$B$4/ADAPTATION!J22</f>
        <v>2.5</v>
      </c>
      <c r="O22" s="10"/>
      <c r="Q22" s="135"/>
    </row>
    <row r="23" spans="1:17" ht="20.149999999999999" customHeight="1" x14ac:dyDescent="0.35">
      <c r="A23" s="1">
        <f t="shared" si="3"/>
        <v>1998</v>
      </c>
      <c r="B23" s="13">
        <f t="shared" si="0"/>
        <v>638.41239796496359</v>
      </c>
      <c r="C23" s="13">
        <f t="shared" si="1"/>
        <v>159.60309949124087</v>
      </c>
      <c r="D23" s="4">
        <f>(4/PARAMETERS!$B$6)*C23/B23</f>
        <v>33.333333333333329</v>
      </c>
      <c r="E23" s="10">
        <f>PARAMETERS!$B$4*B23</f>
        <v>47.880929847372265</v>
      </c>
      <c r="F23" s="4">
        <f t="shared" si="2"/>
        <v>2.9999999999999919E-2</v>
      </c>
      <c r="G23" s="28">
        <f>PARAMETERS!$B$7*E23^PARAMETERS!$B$8</f>
        <v>7.0848264550372813</v>
      </c>
      <c r="H23" s="13">
        <f>H22+G22+PARAMETERS!$B$14</f>
        <v>420.67382473162837</v>
      </c>
      <c r="I23" s="4">
        <f>PARAMETERS!$B$9*H23</f>
        <v>0.92118355780648553</v>
      </c>
      <c r="J23" s="141">
        <f>MAX(1/D23,1/D23+PARAMETERS!$B$10*(I23-PARAMETERS!$B$11))</f>
        <v>3.0000000000000006E-2</v>
      </c>
      <c r="K23" s="4">
        <f>MAX(0,ADAPTATION!K22-PARAMETERS!$B$17*(PARAMETERS!$B$16-ADAPTATION!L22))</f>
        <v>0.8</v>
      </c>
      <c r="L23" s="4">
        <f>PARAMETERS!$B$4/ADAPTATION!J23</f>
        <v>2.4999999999999996</v>
      </c>
      <c r="O23" s="10"/>
      <c r="Q23" s="135"/>
    </row>
    <row r="24" spans="1:17" ht="20.149999999999999" customHeight="1" x14ac:dyDescent="0.35">
      <c r="A24" s="1">
        <f t="shared" si="3"/>
        <v>1999</v>
      </c>
      <c r="B24" s="13">
        <f t="shared" si="0"/>
        <v>657.56476990391252</v>
      </c>
      <c r="C24" s="13">
        <f t="shared" si="1"/>
        <v>164.3911924759781</v>
      </c>
      <c r="D24" s="4">
        <f>(4/PARAMETERS!$B$6)*C24/B24</f>
        <v>33.333333333333329</v>
      </c>
      <c r="E24" s="10">
        <f>PARAMETERS!$B$4*B24</f>
        <v>49.31735774279344</v>
      </c>
      <c r="F24" s="4">
        <f t="shared" si="2"/>
        <v>3.0000000000000158E-2</v>
      </c>
      <c r="G24" s="28">
        <f>PARAMETERS!$B$7*E24^PARAMETERS!$B$8</f>
        <v>7.1974016048405955</v>
      </c>
      <c r="H24" s="13">
        <f>H23+G23+PARAMETERS!$B$14</f>
        <v>429.25865118666565</v>
      </c>
      <c r="I24" s="4">
        <f>PARAMETERS!$B$9*H24</f>
        <v>0.93998244785401242</v>
      </c>
      <c r="J24" s="141">
        <f>MAX(1/D24,1/D24+PARAMETERS!$B$10*(I24-PARAMETERS!$B$11))</f>
        <v>3.0000000000000006E-2</v>
      </c>
      <c r="K24" s="4">
        <f>MAX(0,ADAPTATION!K23-PARAMETERS!$B$17*(PARAMETERS!$B$16-ADAPTATION!L23))</f>
        <v>0.8</v>
      </c>
      <c r="L24" s="4">
        <f>PARAMETERS!$B$4/ADAPTATION!J24</f>
        <v>2.4999999999999996</v>
      </c>
      <c r="O24" s="10"/>
      <c r="Q24" s="135"/>
    </row>
    <row r="25" spans="1:17" ht="20.149999999999999" customHeight="1" x14ac:dyDescent="0.35">
      <c r="A25" s="1">
        <f t="shared" si="3"/>
        <v>2000</v>
      </c>
      <c r="B25" s="13">
        <f t="shared" si="0"/>
        <v>677.29171300102996</v>
      </c>
      <c r="C25" s="13">
        <f t="shared" si="1"/>
        <v>169.32292825025746</v>
      </c>
      <c r="D25" s="4">
        <f>(4/PARAMETERS!$B$6)*C25/B25</f>
        <v>33.333333333333329</v>
      </c>
      <c r="E25" s="10">
        <f>PARAMETERS!$B$4*B25</f>
        <v>50.796878475077243</v>
      </c>
      <c r="F25" s="4">
        <f t="shared" si="2"/>
        <v>2.9999999999999985E-2</v>
      </c>
      <c r="G25" s="28">
        <f>PARAMETERS!$B$7*E25^PARAMETERS!$B$8</f>
        <v>7.3117655301959523</v>
      </c>
      <c r="H25" s="13">
        <f>H24+G24+PARAMETERS!$B$14</f>
        <v>437.95605279150624</v>
      </c>
      <c r="I25" s="4">
        <f>PARAMETERS!$B$9*H25</f>
        <v>0.95902785282811598</v>
      </c>
      <c r="J25" s="141">
        <f>MAX(1/D25,1/D25+PARAMETERS!$B$10*(I25-PARAMETERS!$B$11))</f>
        <v>3.0000000000000006E-2</v>
      </c>
      <c r="K25" s="4">
        <f>MAX(0,ADAPTATION!K24-PARAMETERS!$B$17*(PARAMETERS!$B$16-ADAPTATION!L24))</f>
        <v>0.8</v>
      </c>
      <c r="L25" s="4">
        <f>PARAMETERS!$B$4/ADAPTATION!J25</f>
        <v>2.4999999999999996</v>
      </c>
      <c r="O25" s="10"/>
      <c r="Q25" s="135"/>
    </row>
    <row r="26" spans="1:17" ht="20.149999999999999" customHeight="1" x14ac:dyDescent="0.35">
      <c r="A26" s="1">
        <f t="shared" si="3"/>
        <v>2001</v>
      </c>
      <c r="B26" s="13">
        <f t="shared" si="0"/>
        <v>697.61046439106087</v>
      </c>
      <c r="C26" s="13">
        <f t="shared" si="1"/>
        <v>174.40261609776519</v>
      </c>
      <c r="D26" s="4">
        <f>(4/PARAMETERS!$B$6)*C26/B26</f>
        <v>33.333333333333329</v>
      </c>
      <c r="E26" s="10">
        <f>PARAMETERS!$B$4*B26</f>
        <v>52.320784829329561</v>
      </c>
      <c r="F26" s="4">
        <f t="shared" si="2"/>
        <v>3.000000000000002E-2</v>
      </c>
      <c r="G26" s="28">
        <f>PARAMETERS!$B$7*E26^PARAMETERS!$B$8</f>
        <v>7.4279466540544323</v>
      </c>
      <c r="H26" s="13">
        <f>H25+G25+PARAMETERS!$B$14</f>
        <v>446.76781832170218</v>
      </c>
      <c r="I26" s="4">
        <f>PARAMETERS!$B$9*H26</f>
        <v>0.97832368975555228</v>
      </c>
      <c r="J26" s="141">
        <f>MAX(1/D26,1/D26+PARAMETERS!$B$10*(I26-PARAMETERS!$B$11))</f>
        <v>3.0000000000000006E-2</v>
      </c>
      <c r="K26" s="4">
        <f>MAX(0,ADAPTATION!K25-PARAMETERS!$B$17*(PARAMETERS!$B$16-ADAPTATION!L25))</f>
        <v>0.8</v>
      </c>
      <c r="L26" s="4">
        <f>PARAMETERS!$B$4/ADAPTATION!J26</f>
        <v>2.4999999999999996</v>
      </c>
      <c r="O26" s="10"/>
      <c r="Q26" s="135"/>
    </row>
    <row r="27" spans="1:17" ht="20.149999999999999" customHeight="1" x14ac:dyDescent="0.35">
      <c r="A27" s="1">
        <f t="shared" si="3"/>
        <v>2002</v>
      </c>
      <c r="B27" s="13">
        <f t="shared" si="0"/>
        <v>718.53877832279272</v>
      </c>
      <c r="C27" s="13">
        <f t="shared" si="1"/>
        <v>179.63469458069812</v>
      </c>
      <c r="D27" s="4">
        <f>(4/PARAMETERS!$B$6)*C27/B27</f>
        <v>33.333333333333329</v>
      </c>
      <c r="E27" s="10">
        <f>PARAMETERS!$B$4*B27</f>
        <v>53.89040837420945</v>
      </c>
      <c r="F27" s="4">
        <f t="shared" si="2"/>
        <v>3.0000000000000037E-2</v>
      </c>
      <c r="G27" s="28">
        <f>PARAMETERS!$B$7*E27^PARAMETERS!$B$8</f>
        <v>7.5459738509968037</v>
      </c>
      <c r="H27" s="13">
        <f>H26+G26+PARAMETERS!$B$14</f>
        <v>455.69576497575662</v>
      </c>
      <c r="I27" s="4">
        <f>PARAMETERS!$B$9*H27</f>
        <v>0.99787393790311674</v>
      </c>
      <c r="J27" s="141">
        <f>MAX(1/D27,1/D27+PARAMETERS!$B$10*(I27-PARAMETERS!$B$11))</f>
        <v>3.0000000000000006E-2</v>
      </c>
      <c r="K27" s="4">
        <f>MAX(0,ADAPTATION!K26-PARAMETERS!$B$17*(PARAMETERS!$B$16-ADAPTATION!L26))</f>
        <v>0.8</v>
      </c>
      <c r="L27" s="4">
        <f>PARAMETERS!$B$4/ADAPTATION!J27</f>
        <v>2.4999999999999996</v>
      </c>
      <c r="O27" s="10"/>
      <c r="Q27" s="135"/>
    </row>
    <row r="28" spans="1:17" ht="20.149999999999999" customHeight="1" x14ac:dyDescent="0.35">
      <c r="A28" s="1">
        <f t="shared" si="3"/>
        <v>2003</v>
      </c>
      <c r="B28" s="13">
        <f t="shared" si="0"/>
        <v>740.09494167247658</v>
      </c>
      <c r="C28" s="13">
        <f t="shared" si="1"/>
        <v>185.02373541811909</v>
      </c>
      <c r="D28" s="4">
        <f>(4/PARAMETERS!$B$6)*C28/B28</f>
        <v>33.333333333333329</v>
      </c>
      <c r="E28" s="10">
        <f>PARAMETERS!$B$4*B28</f>
        <v>55.507120625435739</v>
      </c>
      <c r="F28" s="4">
        <f t="shared" si="2"/>
        <v>3.0000000000000106E-2</v>
      </c>
      <c r="G28" s="28">
        <f>PARAMETERS!$B$7*E28^PARAMETERS!$B$8</f>
        <v>7.6658764544097453</v>
      </c>
      <c r="H28" s="13">
        <f>H27+G27+PARAMETERS!$B$14</f>
        <v>464.74173882675342</v>
      </c>
      <c r="I28" s="4">
        <f>PARAMETERS!$B$9*H28</f>
        <v>1.0176826397666134</v>
      </c>
      <c r="J28" s="141">
        <f>MAX(1/D28,1/D28+PARAMETERS!$B$10*(I28-PARAMETERS!$B$11))</f>
        <v>3.0000000000000006E-2</v>
      </c>
      <c r="K28" s="4">
        <f>MAX(0,ADAPTATION!K27-PARAMETERS!$B$17*(PARAMETERS!$B$16-ADAPTATION!L27))</f>
        <v>0.8</v>
      </c>
      <c r="L28" s="4">
        <f>PARAMETERS!$B$4/ADAPTATION!J28</f>
        <v>2.4999999999999996</v>
      </c>
      <c r="O28" s="10"/>
      <c r="Q28" s="135"/>
    </row>
    <row r="29" spans="1:17" ht="20.149999999999999" customHeight="1" x14ac:dyDescent="0.35">
      <c r="A29" s="1">
        <f t="shared" si="3"/>
        <v>2004</v>
      </c>
      <c r="B29" s="13">
        <f t="shared" si="0"/>
        <v>762.29778992265085</v>
      </c>
      <c r="C29" s="13">
        <f t="shared" si="1"/>
        <v>190.57444748066266</v>
      </c>
      <c r="D29" s="4">
        <f>(4/PARAMETERS!$B$6)*C29/B29</f>
        <v>33.333333333333321</v>
      </c>
      <c r="E29" s="10">
        <f>PARAMETERS!$B$4*B29</f>
        <v>57.172334244198815</v>
      </c>
      <c r="F29" s="4">
        <f t="shared" si="2"/>
        <v>3.0000000000000068E-2</v>
      </c>
      <c r="G29" s="28">
        <f>PARAMETERS!$B$7*E29^PARAMETERS!$B$8</f>
        <v>7.7876842637760992</v>
      </c>
      <c r="H29" s="13">
        <f>H28+G28+PARAMETERS!$B$14</f>
        <v>473.90761528116315</v>
      </c>
      <c r="I29" s="4">
        <f>PARAMETERS!$B$9*H29</f>
        <v>1.0377539020755397</v>
      </c>
      <c r="J29" s="141">
        <f>MAX(1/D29,1/D29+PARAMETERS!$B$10*(I29-PARAMETERS!$B$11))</f>
        <v>3.0000000000000009E-2</v>
      </c>
      <c r="K29" s="4">
        <f>MAX(0,ADAPTATION!K28-PARAMETERS!$B$17*(PARAMETERS!$B$16-ADAPTATION!L28))</f>
        <v>0.8</v>
      </c>
      <c r="L29" s="4">
        <f>PARAMETERS!$B$4/ADAPTATION!J29</f>
        <v>2.4999999999999991</v>
      </c>
      <c r="O29" s="10"/>
      <c r="Q29" s="135"/>
    </row>
    <row r="30" spans="1:17" ht="20.149999999999999" customHeight="1" x14ac:dyDescent="0.35">
      <c r="A30" s="1">
        <f t="shared" si="3"/>
        <v>2005</v>
      </c>
      <c r="B30" s="13">
        <f t="shared" si="0"/>
        <v>785.16672362033046</v>
      </c>
      <c r="C30" s="13">
        <f t="shared" si="1"/>
        <v>196.29168090508253</v>
      </c>
      <c r="D30" s="4">
        <f>(4/PARAMETERS!$B$6)*C30/B30</f>
        <v>33.333333333333321</v>
      </c>
      <c r="E30" s="10">
        <f>PARAMETERS!$B$4*B30</f>
        <v>58.887504271524783</v>
      </c>
      <c r="F30" s="4">
        <f t="shared" si="2"/>
        <v>3.0000000000000058E-2</v>
      </c>
      <c r="G30" s="28">
        <f>PARAMETERS!$B$7*E30^PARAMETERS!$B$8</f>
        <v>7.9114275520809532</v>
      </c>
      <c r="H30" s="13">
        <f>H29+G29+PARAMETERS!$B$14</f>
        <v>483.19529954493925</v>
      </c>
      <c r="I30" s="4">
        <f>PARAMETERS!$B$9*H30</f>
        <v>1.0580918968137356</v>
      </c>
      <c r="J30" s="141">
        <f>MAX(1/D30,1/D30+PARAMETERS!$B$10*(I30-PARAMETERS!$B$11))</f>
        <v>3.0000000000000009E-2</v>
      </c>
      <c r="K30" s="4">
        <f>MAX(0,ADAPTATION!K29-PARAMETERS!$B$17*(PARAMETERS!$B$16-ADAPTATION!L29))</f>
        <v>0.8</v>
      </c>
      <c r="L30" s="4">
        <f>PARAMETERS!$B$4/ADAPTATION!J30</f>
        <v>2.4999999999999991</v>
      </c>
      <c r="O30" s="10"/>
      <c r="Q30" s="135"/>
    </row>
    <row r="31" spans="1:17" ht="20.149999999999999" customHeight="1" x14ac:dyDescent="0.35">
      <c r="A31" s="1">
        <f t="shared" si="3"/>
        <v>2006</v>
      </c>
      <c r="B31" s="13">
        <f t="shared" si="0"/>
        <v>808.72172532894035</v>
      </c>
      <c r="C31" s="13">
        <f t="shared" si="1"/>
        <v>202.180431332235</v>
      </c>
      <c r="D31" s="4">
        <f>(4/PARAMETERS!$B$6)*C31/B31</f>
        <v>33.333333333333321</v>
      </c>
      <c r="E31" s="10">
        <f>PARAMETERS!$B$4*B31</f>
        <v>60.654129399670524</v>
      </c>
      <c r="F31" s="4">
        <f t="shared" si="2"/>
        <v>2.999999999999995E-2</v>
      </c>
      <c r="G31" s="28">
        <f>PARAMETERS!$B$7*E31^PARAMETERS!$B$8</f>
        <v>8.037137073335396</v>
      </c>
      <c r="H31" s="13">
        <f>H30+G30+PARAMETERS!$B$14</f>
        <v>492.60672709702021</v>
      </c>
      <c r="I31" s="4">
        <f>PARAMETERS!$B$9*H31</f>
        <v>1.0787008622562488</v>
      </c>
      <c r="J31" s="141">
        <f>MAX(1/D31,1/D31+PARAMETERS!$B$10*(I31-PARAMETERS!$B$11))</f>
        <v>3.0000000000000009E-2</v>
      </c>
      <c r="K31" s="4">
        <f>MAX(0,ADAPTATION!K30-PARAMETERS!$B$17*(PARAMETERS!$B$16-ADAPTATION!L30))</f>
        <v>0.8</v>
      </c>
      <c r="L31" s="4">
        <f>PARAMETERS!$B$4/ADAPTATION!J31</f>
        <v>2.4999999999999991</v>
      </c>
      <c r="O31" s="10"/>
      <c r="Q31" s="135"/>
    </row>
    <row r="32" spans="1:17" ht="20.149999999999999" customHeight="1" x14ac:dyDescent="0.35">
      <c r="A32" s="1">
        <f t="shared" si="3"/>
        <v>2007</v>
      </c>
      <c r="B32" s="13">
        <f t="shared" si="0"/>
        <v>832.98337708880854</v>
      </c>
      <c r="C32" s="13">
        <f t="shared" si="1"/>
        <v>208.24584427220205</v>
      </c>
      <c r="D32" s="4">
        <f>(4/PARAMETERS!$B$6)*C32/B32</f>
        <v>33.333333333333321</v>
      </c>
      <c r="E32" s="10">
        <f>PARAMETERS!$B$4*B32</f>
        <v>62.473753281660635</v>
      </c>
      <c r="F32" s="4">
        <f t="shared" si="2"/>
        <v>2.9999999999999926E-2</v>
      </c>
      <c r="G32" s="28">
        <f>PARAMETERS!$B$7*E32^PARAMETERS!$B$8</f>
        <v>8.1648440702198766</v>
      </c>
      <c r="H32" s="13">
        <f>H31+G31+PARAMETERS!$B$14</f>
        <v>502.14386417035558</v>
      </c>
      <c r="I32" s="4">
        <f>PARAMETERS!$B$9*H32</f>
        <v>1.0995851040226765</v>
      </c>
      <c r="J32" s="141">
        <f>MAX(1/D32,1/D32+PARAMETERS!$B$10*(I32-PARAMETERS!$B$11))</f>
        <v>3.0000000000000009E-2</v>
      </c>
      <c r="K32" s="4">
        <f>MAX(0,ADAPTATION!K31-PARAMETERS!$B$17*(PARAMETERS!$B$16-ADAPTATION!L31))</f>
        <v>0.8</v>
      </c>
      <c r="L32" s="4">
        <f>PARAMETERS!$B$4/ADAPTATION!J32</f>
        <v>2.4999999999999991</v>
      </c>
      <c r="O32" s="10"/>
      <c r="Q32" s="135"/>
    </row>
    <row r="33" spans="1:17" ht="20.149999999999999" customHeight="1" x14ac:dyDescent="0.35">
      <c r="A33" s="1">
        <f t="shared" si="3"/>
        <v>2008</v>
      </c>
      <c r="B33" s="13">
        <f t="shared" si="0"/>
        <v>857.97287840147271</v>
      </c>
      <c r="C33" s="13">
        <f t="shared" si="1"/>
        <v>214.49321960036809</v>
      </c>
      <c r="D33" s="4">
        <f>(4/PARAMETERS!$B$6)*C33/B33</f>
        <v>33.333333333333321</v>
      </c>
      <c r="E33" s="10">
        <f>PARAMETERS!$B$4*B33</f>
        <v>64.347965880110451</v>
      </c>
      <c r="F33" s="4">
        <f t="shared" si="2"/>
        <v>2.999999999999995E-2</v>
      </c>
      <c r="G33" s="28">
        <f>PARAMETERS!$B$7*E33^PARAMETERS!$B$8</f>
        <v>8.2945802818489085</v>
      </c>
      <c r="H33" s="13">
        <f>H32+G32+PARAMETERS!$B$14</f>
        <v>511.80870824057547</v>
      </c>
      <c r="I33" s="4">
        <f>PARAMETERS!$B$9*H33</f>
        <v>1.1207489961472457</v>
      </c>
      <c r="J33" s="141">
        <f>MAX(1/D33,1/D33+PARAMETERS!$B$10*(I33-PARAMETERS!$B$11))</f>
        <v>3.0000000000000009E-2</v>
      </c>
      <c r="K33" s="4">
        <f>MAX(0,ADAPTATION!K32-PARAMETERS!$B$17*(PARAMETERS!$B$16-ADAPTATION!L32))</f>
        <v>0.8</v>
      </c>
      <c r="L33" s="4">
        <f>PARAMETERS!$B$4/ADAPTATION!J33</f>
        <v>2.4999999999999991</v>
      </c>
      <c r="O33" s="10"/>
      <c r="Q33" s="135"/>
    </row>
    <row r="34" spans="1:17" ht="20.149999999999999" customHeight="1" x14ac:dyDescent="0.35">
      <c r="A34" s="1">
        <f t="shared" si="3"/>
        <v>2009</v>
      </c>
      <c r="B34" s="13">
        <f t="shared" si="0"/>
        <v>883.71206475351687</v>
      </c>
      <c r="C34" s="13">
        <f t="shared" si="1"/>
        <v>220.92801618837913</v>
      </c>
      <c r="D34" s="4">
        <f>(4/PARAMETERS!$B$6)*C34/B34</f>
        <v>33.333333333333321</v>
      </c>
      <c r="E34" s="10">
        <f>PARAMETERS!$B$4*B34</f>
        <v>66.27840485651376</v>
      </c>
      <c r="F34" s="4">
        <f t="shared" si="2"/>
        <v>2.999999999999993E-2</v>
      </c>
      <c r="G34" s="28">
        <f>PARAMETERS!$B$7*E34^PARAMETERS!$B$8</f>
        <v>8.4263779516592745</v>
      </c>
      <c r="H34" s="13">
        <f>H33+G33+PARAMETERS!$B$14</f>
        <v>521.60328852242435</v>
      </c>
      <c r="I34" s="4">
        <f>PARAMETERS!$B$9*H34</f>
        <v>1.1421969821658928</v>
      </c>
      <c r="J34" s="141">
        <f>MAX(1/D34,1/D34+PARAMETERS!$B$10*(I34-PARAMETERS!$B$11))</f>
        <v>3.0000000000000009E-2</v>
      </c>
      <c r="K34" s="4">
        <f>MAX(0,ADAPTATION!K33-PARAMETERS!$B$17*(PARAMETERS!$B$16-ADAPTATION!L33))</f>
        <v>0.8</v>
      </c>
      <c r="L34" s="4">
        <f>PARAMETERS!$B$4/ADAPTATION!J34</f>
        <v>2.4999999999999991</v>
      </c>
      <c r="O34" s="10"/>
      <c r="Q34" s="135"/>
    </row>
    <row r="35" spans="1:17" ht="20.149999999999999" customHeight="1" x14ac:dyDescent="0.35">
      <c r="A35" s="1">
        <f t="shared" si="3"/>
        <v>2010</v>
      </c>
      <c r="B35" s="13">
        <f t="shared" si="0"/>
        <v>910.22342669612237</v>
      </c>
      <c r="C35" s="13">
        <f t="shared" si="1"/>
        <v>227.55585667403051</v>
      </c>
      <c r="D35" s="4">
        <f>(4/PARAMETERS!$B$6)*C35/B35</f>
        <v>33.333333333333321</v>
      </c>
      <c r="E35" s="10">
        <f>PARAMETERS!$B$4*B35</f>
        <v>68.266757002209175</v>
      </c>
      <c r="F35" s="4">
        <f t="shared" si="2"/>
        <v>3.0000000000000044E-2</v>
      </c>
      <c r="G35" s="28">
        <f>PARAMETERS!$B$7*E35^PARAMETERS!$B$8</f>
        <v>8.5602698354234796</v>
      </c>
      <c r="H35" s="13">
        <f>H34+G34+PARAMETERS!$B$14</f>
        <v>531.52966647408357</v>
      </c>
      <c r="I35" s="4">
        <f>PARAMETERS!$B$9*H35</f>
        <v>1.1639335762206211</v>
      </c>
      <c r="J35" s="141">
        <f>MAX(1/D35,1/D35+PARAMETERS!$B$10*(I35-PARAMETERS!$B$11))</f>
        <v>3.0000000000000009E-2</v>
      </c>
      <c r="K35" s="4">
        <f>MAX(0,ADAPTATION!K34-PARAMETERS!$B$17*(PARAMETERS!$B$16-ADAPTATION!L34))</f>
        <v>0.8</v>
      </c>
      <c r="L35" s="4">
        <f>PARAMETERS!$B$4/ADAPTATION!J35</f>
        <v>2.4999999999999991</v>
      </c>
      <c r="O35" s="10"/>
      <c r="Q35" s="135"/>
    </row>
    <row r="36" spans="1:17" ht="20.149999999999999" customHeight="1" x14ac:dyDescent="0.35">
      <c r="A36" s="1">
        <f t="shared" si="3"/>
        <v>2011</v>
      </c>
      <c r="B36" s="13">
        <f t="shared" si="0"/>
        <v>937.53012949700599</v>
      </c>
      <c r="C36" s="13">
        <f t="shared" si="1"/>
        <v>234.38253237425141</v>
      </c>
      <c r="D36" s="4">
        <f>(4/PARAMETERS!$B$6)*C36/B36</f>
        <v>33.333333333333321</v>
      </c>
      <c r="E36" s="10">
        <f>PARAMETERS!$B$4*B36</f>
        <v>70.314759712275446</v>
      </c>
      <c r="F36" s="4">
        <f t="shared" si="2"/>
        <v>2.9999999999999936E-2</v>
      </c>
      <c r="G36" s="28">
        <f>PARAMETERS!$B$7*E36^PARAMETERS!$B$8</f>
        <v>8.6962892093905584</v>
      </c>
      <c r="H36" s="13">
        <f>H35+G35+PARAMETERS!$B$14</f>
        <v>541.58993630950704</v>
      </c>
      <c r="I36" s="4">
        <f>PARAMETERS!$B$9*H36</f>
        <v>1.1859633641814025</v>
      </c>
      <c r="J36" s="141">
        <f>MAX(1/D36,1/D36+PARAMETERS!$B$10*(I36-PARAMETERS!$B$11))</f>
        <v>3.0000000000000009E-2</v>
      </c>
      <c r="K36" s="4">
        <f>MAX(0,ADAPTATION!K35-PARAMETERS!$B$17*(PARAMETERS!$B$16-ADAPTATION!L35))</f>
        <v>0.8</v>
      </c>
      <c r="L36" s="4">
        <f>PARAMETERS!$B$4/ADAPTATION!J36</f>
        <v>2.4999999999999991</v>
      </c>
      <c r="O36" s="10"/>
      <c r="Q36" s="135"/>
    </row>
    <row r="37" spans="1:17" ht="20.149999999999999" customHeight="1" x14ac:dyDescent="0.35">
      <c r="A37" s="1">
        <f t="shared" si="3"/>
        <v>2012</v>
      </c>
      <c r="B37" s="13">
        <f t="shared" si="0"/>
        <v>965.65603338191625</v>
      </c>
      <c r="C37" s="13">
        <f t="shared" si="1"/>
        <v>241.41400834547895</v>
      </c>
      <c r="D37" s="4">
        <f>(4/PARAMETERS!$B$6)*C37/B37</f>
        <v>33.333333333333321</v>
      </c>
      <c r="E37" s="10">
        <f>PARAMETERS!$B$4*B37</f>
        <v>72.424202503643713</v>
      </c>
      <c r="F37" s="4">
        <f t="shared" si="2"/>
        <v>3.0000000000000044E-2</v>
      </c>
      <c r="G37" s="28">
        <f>PARAMETERS!$B$7*E37^PARAMETERS!$B$8</f>
        <v>8.8344698785562823</v>
      </c>
      <c r="H37" s="13">
        <f>H36+G36+PARAMETERS!$B$14</f>
        <v>551.7862255188976</v>
      </c>
      <c r="I37" s="4">
        <f>PARAMETERS!$B$9*H37</f>
        <v>1.2082910047859072</v>
      </c>
      <c r="J37" s="141">
        <f>MAX(1/D37,1/D37+PARAMETERS!$B$10*(I37-PARAMETERS!$B$11))</f>
        <v>3.0000000000000009E-2</v>
      </c>
      <c r="K37" s="4">
        <f>MAX(0,ADAPTATION!K36-PARAMETERS!$B$17*(PARAMETERS!$B$16-ADAPTATION!L36))</f>
        <v>0.8</v>
      </c>
      <c r="L37" s="4">
        <f>PARAMETERS!$B$4/ADAPTATION!J37</f>
        <v>2.4999999999999991</v>
      </c>
      <c r="O37" s="10"/>
      <c r="Q37" s="135"/>
    </row>
    <row r="38" spans="1:17" ht="20.149999999999999" customHeight="1" x14ac:dyDescent="0.35">
      <c r="A38" s="1">
        <f t="shared" si="3"/>
        <v>2013</v>
      </c>
      <c r="B38" s="13">
        <f t="shared" ref="B38:B69" si="4">B37+K37*E37-J37*B37</f>
        <v>994.62571438337375</v>
      </c>
      <c r="C38" s="13">
        <f t="shared" si="1"/>
        <v>248.65642859584332</v>
      </c>
      <c r="D38" s="4">
        <f>(4/PARAMETERS!$B$6)*C38/B38</f>
        <v>33.333333333333321</v>
      </c>
      <c r="E38" s="10">
        <f>PARAMETERS!$B$4*B38</f>
        <v>74.596928578753023</v>
      </c>
      <c r="F38" s="4">
        <f t="shared" si="2"/>
        <v>2.9999999999999978E-2</v>
      </c>
      <c r="G38" s="28">
        <f>PARAMETERS!$B$7*E38^PARAMETERS!$B$8</f>
        <v>8.9748461850647168</v>
      </c>
      <c r="H38" s="13">
        <f>H37+G37+PARAMETERS!$B$14</f>
        <v>562.12069539745391</v>
      </c>
      <c r="I38" s="4">
        <f>PARAMETERS!$B$9*H38</f>
        <v>1.2309212307973445</v>
      </c>
      <c r="J38" s="141">
        <f>MAX(1/D38,1/D38+PARAMETERS!$B$10*(I38-PARAMETERS!$B$11))</f>
        <v>3.0000000000000009E-2</v>
      </c>
      <c r="K38" s="4">
        <f>MAX(0,ADAPTATION!K37-PARAMETERS!$B$17*(PARAMETERS!$B$16-ADAPTATION!L37))</f>
        <v>0.8</v>
      </c>
      <c r="L38" s="4">
        <f>PARAMETERS!$B$4/ADAPTATION!J38</f>
        <v>2.4999999999999991</v>
      </c>
      <c r="O38" s="10"/>
      <c r="Q38" s="135"/>
    </row>
    <row r="39" spans="1:17" ht="20.149999999999999" customHeight="1" x14ac:dyDescent="0.35">
      <c r="A39" s="1">
        <f t="shared" si="3"/>
        <v>2014</v>
      </c>
      <c r="B39" s="13">
        <f t="shared" si="4"/>
        <v>1024.4644858148749</v>
      </c>
      <c r="C39" s="13">
        <f t="shared" si="1"/>
        <v>256.11612145371862</v>
      </c>
      <c r="D39" s="4">
        <f>(4/PARAMETERS!$B$6)*C39/B39</f>
        <v>33.333333333333321</v>
      </c>
      <c r="E39" s="10">
        <f>PARAMETERS!$B$4*B39</f>
        <v>76.834836436115623</v>
      </c>
      <c r="F39" s="4">
        <f t="shared" si="2"/>
        <v>3.0000000000000131E-2</v>
      </c>
      <c r="G39" s="28">
        <f>PARAMETERS!$B$7*E39^PARAMETERS!$B$8</f>
        <v>9.1174530167432799</v>
      </c>
      <c r="H39" s="13">
        <f>H38+G38+PARAMETERS!$B$14</f>
        <v>572.59554158251865</v>
      </c>
      <c r="I39" s="4">
        <f>PARAMETERS!$B$9*H39</f>
        <v>1.253858850180698</v>
      </c>
      <c r="J39" s="141">
        <f>MAX(1/D39,1/D39+PARAMETERS!$B$10*(I39-PARAMETERS!$B$11))</f>
        <v>3.0000000000000009E-2</v>
      </c>
      <c r="K39" s="4">
        <f>MAX(0,ADAPTATION!K38-PARAMETERS!$B$17*(PARAMETERS!$B$16-ADAPTATION!L38))</f>
        <v>0.8</v>
      </c>
      <c r="L39" s="4">
        <f>PARAMETERS!$B$4/ADAPTATION!J39</f>
        <v>2.4999999999999991</v>
      </c>
      <c r="O39" s="10"/>
      <c r="Q39" s="135"/>
    </row>
    <row r="40" spans="1:17" ht="20.149999999999999" customHeight="1" x14ac:dyDescent="0.35">
      <c r="A40" s="1">
        <f t="shared" si="3"/>
        <v>2015</v>
      </c>
      <c r="B40" s="13">
        <f t="shared" si="4"/>
        <v>1055.1984203893212</v>
      </c>
      <c r="C40" s="13">
        <f t="shared" si="1"/>
        <v>263.79960509733019</v>
      </c>
      <c r="D40" s="4">
        <f>(4/PARAMETERS!$B$6)*C40/B40</f>
        <v>33.333333333333321</v>
      </c>
      <c r="E40" s="10">
        <f>PARAMETERS!$B$4*B40</f>
        <v>79.139881529199087</v>
      </c>
      <c r="F40" s="4">
        <f t="shared" si="2"/>
        <v>2.9999999999999943E-2</v>
      </c>
      <c r="G40" s="28">
        <f>PARAMETERS!$B$7*E40^PARAMETERS!$B$8</f>
        <v>9.2623258157734973</v>
      </c>
      <c r="H40" s="13">
        <f>H39+G39+PARAMETERS!$B$14</f>
        <v>583.21299459926195</v>
      </c>
      <c r="I40" s="4">
        <f>PARAMETERS!$B$9*H40</f>
        <v>1.2771087472976541</v>
      </c>
      <c r="J40" s="141">
        <f>MAX(1/D40,1/D40+PARAMETERS!$B$10*(I40-PARAMETERS!$B$11))</f>
        <v>3.0000000000000009E-2</v>
      </c>
      <c r="K40" s="4">
        <f>MAX(0,ADAPTATION!K39-PARAMETERS!$B$17*(PARAMETERS!$B$16-ADAPTATION!L39))</f>
        <v>0.8</v>
      </c>
      <c r="L40" s="4">
        <f>PARAMETERS!$B$4/ADAPTATION!J40</f>
        <v>2.4999999999999991</v>
      </c>
      <c r="O40" s="10"/>
      <c r="Q40" s="135"/>
    </row>
    <row r="41" spans="1:17" ht="20.149999999999999" customHeight="1" x14ac:dyDescent="0.35">
      <c r="A41" s="1">
        <f t="shared" si="3"/>
        <v>2016</v>
      </c>
      <c r="B41" s="13">
        <f t="shared" si="4"/>
        <v>1086.8543730010008</v>
      </c>
      <c r="C41" s="13">
        <f t="shared" si="1"/>
        <v>271.71359325025009</v>
      </c>
      <c r="D41" s="4">
        <f>(4/PARAMETERS!$B$6)*C41/B41</f>
        <v>33.333333333333321</v>
      </c>
      <c r="E41" s="10">
        <f>PARAMETERS!$B$4*B41</f>
        <v>81.514077975075054</v>
      </c>
      <c r="F41" s="4">
        <f t="shared" si="2"/>
        <v>2.9999999999999926E-2</v>
      </c>
      <c r="G41" s="28">
        <f>PARAMETERS!$B$7*E41^PARAMETERS!$B$8</f>
        <v>9.4095005874994033</v>
      </c>
      <c r="H41" s="13">
        <f>H40+G40+PARAMETERS!$B$14</f>
        <v>593.97532041503541</v>
      </c>
      <c r="I41" s="4">
        <f>PARAMETERS!$B$9*H41</f>
        <v>1.3006758841205157</v>
      </c>
      <c r="J41" s="141">
        <f>MAX(1/D41,1/D41+PARAMETERS!$B$10*(I41-PARAMETERS!$B$11))</f>
        <v>3.0000000000000009E-2</v>
      </c>
      <c r="K41" s="4">
        <f>MAX(0,ADAPTATION!K40-PARAMETERS!$B$17*(PARAMETERS!$B$16-ADAPTATION!L40))</f>
        <v>0.8</v>
      </c>
      <c r="L41" s="4">
        <f>PARAMETERS!$B$4/ADAPTATION!J41</f>
        <v>2.4999999999999991</v>
      </c>
      <c r="O41" s="10"/>
      <c r="Q41" s="135"/>
    </row>
    <row r="42" spans="1:17" ht="20.149999999999999" customHeight="1" x14ac:dyDescent="0.35">
      <c r="A42" s="1">
        <f t="shared" si="3"/>
        <v>2017</v>
      </c>
      <c r="B42" s="13">
        <f t="shared" si="4"/>
        <v>1119.460004191031</v>
      </c>
      <c r="C42" s="13">
        <f t="shared" si="1"/>
        <v>279.86500104775763</v>
      </c>
      <c r="D42" s="4">
        <f>(4/PARAMETERS!$B$6)*C42/B42</f>
        <v>33.333333333333321</v>
      </c>
      <c r="E42" s="10">
        <f>PARAMETERS!$B$4*B42</f>
        <v>83.959500314327315</v>
      </c>
      <c r="F42" s="4">
        <f t="shared" si="2"/>
        <v>3.000000000000011E-2</v>
      </c>
      <c r="G42" s="28">
        <f>PARAMETERS!$B$7*E42^PARAMETERS!$B$8</f>
        <v>9.5590139093760431</v>
      </c>
      <c r="H42" s="13">
        <f>H41+G41+PARAMETERS!$B$14</f>
        <v>604.88482100253486</v>
      </c>
      <c r="I42" s="4">
        <f>PARAMETERS!$B$9*H42</f>
        <v>1.3245653014654049</v>
      </c>
      <c r="J42" s="141">
        <f>MAX(1/D42,1/D42+PARAMETERS!$B$10*(I42-PARAMETERS!$B$11))</f>
        <v>3.0000000000000009E-2</v>
      </c>
      <c r="K42" s="4">
        <f>MAX(0,ADAPTATION!K41-PARAMETERS!$B$17*(PARAMETERS!$B$16-ADAPTATION!L41))</f>
        <v>0.8</v>
      </c>
      <c r="L42" s="4">
        <f>PARAMETERS!$B$4/ADAPTATION!J42</f>
        <v>2.4999999999999991</v>
      </c>
      <c r="O42" s="10"/>
      <c r="Q42" s="135"/>
    </row>
    <row r="43" spans="1:17" ht="20.149999999999999" customHeight="1" x14ac:dyDescent="0.35">
      <c r="A43" s="1">
        <f t="shared" si="3"/>
        <v>2018</v>
      </c>
      <c r="B43" s="13">
        <f t="shared" si="4"/>
        <v>1153.0438043167619</v>
      </c>
      <c r="C43" s="13">
        <f t="shared" si="1"/>
        <v>288.26095107919036</v>
      </c>
      <c r="D43" s="4">
        <f>(4/PARAMETERS!$B$6)*C43/B43</f>
        <v>33.333333333333321</v>
      </c>
      <c r="E43" s="10">
        <f>PARAMETERS!$B$4*B43</f>
        <v>86.478285323757135</v>
      </c>
      <c r="F43" s="4">
        <f t="shared" si="2"/>
        <v>3.0000000000000006E-2</v>
      </c>
      <c r="G43" s="28">
        <f>PARAMETERS!$B$7*E43^PARAMETERS!$B$8</f>
        <v>9.7109029400600466</v>
      </c>
      <c r="H43" s="13">
        <f>H42+G42+PARAMETERS!$B$14</f>
        <v>615.94383491191093</v>
      </c>
      <c r="I43" s="4">
        <f>PARAMETERS!$B$9*H43</f>
        <v>1.3487821202450605</v>
      </c>
      <c r="J43" s="141">
        <f>MAX(1/D43,1/D43+PARAMETERS!$B$10*(I43-PARAMETERS!$B$11))</f>
        <v>3.0000000000000009E-2</v>
      </c>
      <c r="K43" s="4">
        <f>MAX(0,ADAPTATION!K42-PARAMETERS!$B$17*(PARAMETERS!$B$16-ADAPTATION!L42))</f>
        <v>0.8</v>
      </c>
      <c r="L43" s="4">
        <f>PARAMETERS!$B$4/ADAPTATION!J43</f>
        <v>2.4999999999999991</v>
      </c>
      <c r="O43" s="10"/>
      <c r="Q43" s="135"/>
    </row>
    <row r="44" spans="1:17" ht="20.149999999999999" customHeight="1" x14ac:dyDescent="0.35">
      <c r="A44" s="1">
        <f t="shared" si="3"/>
        <v>2019</v>
      </c>
      <c r="B44" s="13">
        <f t="shared" si="4"/>
        <v>1187.6351184462646</v>
      </c>
      <c r="C44" s="13">
        <f t="shared" si="1"/>
        <v>296.90877961156605</v>
      </c>
      <c r="D44" s="4">
        <f>(4/PARAMETERS!$B$6)*C44/B44</f>
        <v>33.333333333333321</v>
      </c>
      <c r="E44" s="10">
        <f>PARAMETERS!$B$4*B44</f>
        <v>89.072633883469848</v>
      </c>
      <c r="F44" s="4">
        <f t="shared" si="2"/>
        <v>2.9999999999999995E-2</v>
      </c>
      <c r="G44" s="28">
        <f>PARAMETERS!$B$7*E44^PARAMETERS!$B$8</f>
        <v>9.8652054286447051</v>
      </c>
      <c r="H44" s="13">
        <f>H43+G43+PARAMETERS!$B$14</f>
        <v>627.15473785197094</v>
      </c>
      <c r="I44" s="4">
        <f>PARAMETERS!$B$9*H44</f>
        <v>1.3733315427415422</v>
      </c>
      <c r="J44" s="141">
        <f>MAX(1/D44,1/D44+PARAMETERS!$B$10*(I44-PARAMETERS!$B$11))</f>
        <v>3.0000000000000009E-2</v>
      </c>
      <c r="K44" s="4">
        <f>MAX(0,ADAPTATION!K43-PARAMETERS!$B$17*(PARAMETERS!$B$16-ADAPTATION!L43))</f>
        <v>0.8</v>
      </c>
      <c r="L44" s="4">
        <f>PARAMETERS!$B$4/ADAPTATION!J44</f>
        <v>2.4999999999999991</v>
      </c>
      <c r="O44" s="10"/>
      <c r="Q44" s="135"/>
    </row>
    <row r="45" spans="1:17" ht="20.149999999999999" customHeight="1" x14ac:dyDescent="0.35">
      <c r="A45" s="1">
        <f t="shared" si="3"/>
        <v>2020</v>
      </c>
      <c r="B45" s="13">
        <f t="shared" si="4"/>
        <v>1223.2641719996527</v>
      </c>
      <c r="C45" s="13">
        <f t="shared" si="1"/>
        <v>305.81604299991307</v>
      </c>
      <c r="D45" s="4">
        <f>(4/PARAMETERS!$B$6)*C45/B45</f>
        <v>33.333333333333321</v>
      </c>
      <c r="E45" s="10">
        <f>PARAMETERS!$B$4*B45</f>
        <v>91.744812899973951</v>
      </c>
      <c r="F45" s="4">
        <f t="shared" si="2"/>
        <v>3.0000000000000082E-2</v>
      </c>
      <c r="G45" s="28">
        <f>PARAMETERS!$B$7*E45^PARAMETERS!$B$8</f>
        <v>10.021959724041816</v>
      </c>
      <c r="H45" s="13">
        <f>H44+G44+PARAMETERS!$B$14</f>
        <v>638.51994328061562</v>
      </c>
      <c r="I45" s="4">
        <f>PARAMETERS!$B$9*H45</f>
        <v>1.3982188538991585</v>
      </c>
      <c r="J45" s="141">
        <f>MAX(1/D45,1/D45+PARAMETERS!$B$10*(I45-PARAMETERS!$B$11))</f>
        <v>3.0000000000000009E-2</v>
      </c>
      <c r="K45" s="4">
        <f>MAX(0,ADAPTATION!K44-PARAMETERS!$B$17*(PARAMETERS!$B$16-ADAPTATION!L44))</f>
        <v>0.8</v>
      </c>
      <c r="L45" s="4">
        <f>PARAMETERS!$B$4/ADAPTATION!J45</f>
        <v>2.4999999999999991</v>
      </c>
      <c r="O45" s="10"/>
      <c r="Q45" s="135"/>
    </row>
    <row r="46" spans="1:17" ht="20.149999999999999" customHeight="1" x14ac:dyDescent="0.35">
      <c r="A46" s="1">
        <f t="shared" si="3"/>
        <v>2021</v>
      </c>
      <c r="B46" s="13">
        <f t="shared" si="4"/>
        <v>1259.9620971596423</v>
      </c>
      <c r="C46" s="13">
        <f t="shared" si="1"/>
        <v>314.99052428991047</v>
      </c>
      <c r="D46" s="4">
        <f>(4/PARAMETERS!$B$6)*C46/B46</f>
        <v>33.333333333333321</v>
      </c>
      <c r="E46" s="10">
        <f>PARAMETERS!$B$4*B46</f>
        <v>94.497157286973177</v>
      </c>
      <c r="F46" s="4">
        <f t="shared" si="2"/>
        <v>3.0000000000000086E-2</v>
      </c>
      <c r="G46" s="28">
        <f>PARAMETERS!$B$7*E46^PARAMETERS!$B$8</f>
        <v>10.181204784512509</v>
      </c>
      <c r="H46" s="13">
        <f>H45+G45+PARAMETERS!$B$14</f>
        <v>650.04190300465746</v>
      </c>
      <c r="I46" s="4">
        <f>PARAMETERS!$B$9*H46</f>
        <v>1.4234494226379362</v>
      </c>
      <c r="J46" s="141">
        <f>MAX(1/D46,1/D46+PARAMETERS!$B$10*(I46-PARAMETERS!$B$11))</f>
        <v>3.0000000000000009E-2</v>
      </c>
      <c r="K46" s="4">
        <f>MAX(0,ADAPTATION!K45-PARAMETERS!$B$17*(PARAMETERS!$B$16-ADAPTATION!L45))</f>
        <v>0.8</v>
      </c>
      <c r="L46" s="4">
        <f>PARAMETERS!$B$4/ADAPTATION!J46</f>
        <v>2.4999999999999991</v>
      </c>
      <c r="O46" s="10"/>
      <c r="Q46" s="135"/>
    </row>
    <row r="47" spans="1:17" ht="20.149999999999999" customHeight="1" x14ac:dyDescent="0.35">
      <c r="A47" s="1">
        <f t="shared" si="3"/>
        <v>2022</v>
      </c>
      <c r="B47" s="13">
        <f t="shared" si="4"/>
        <v>1297.7609600744318</v>
      </c>
      <c r="C47" s="13">
        <f t="shared" si="1"/>
        <v>324.44024001860782</v>
      </c>
      <c r="D47" s="4">
        <f>(4/PARAMETERS!$B$6)*C47/B47</f>
        <v>33.333333333333321</v>
      </c>
      <c r="E47" s="10">
        <f>PARAMETERS!$B$4*B47</f>
        <v>97.332072005582376</v>
      </c>
      <c r="F47" s="4">
        <f t="shared" si="2"/>
        <v>3.000000000000003E-2</v>
      </c>
      <c r="G47" s="28">
        <f>PARAMETERS!$B$7*E47^PARAMETERS!$B$8</f>
        <v>10.342980187349626</v>
      </c>
      <c r="H47" s="13">
        <f>H46+G46+PARAMETERS!$B$14</f>
        <v>661.72310778916994</v>
      </c>
      <c r="I47" s="4">
        <f>PARAMETERS!$B$9*H47</f>
        <v>1.4490287031879634</v>
      </c>
      <c r="J47" s="141">
        <f>MAX(1/D47,1/D47+PARAMETERS!$B$10*(I47-PARAMETERS!$B$11))</f>
        <v>3.0000000000000009E-2</v>
      </c>
      <c r="K47" s="4">
        <f>MAX(0,ADAPTATION!K46-PARAMETERS!$B$17*(PARAMETERS!$B$16-ADAPTATION!L46))</f>
        <v>0.8</v>
      </c>
      <c r="L47" s="4">
        <f>PARAMETERS!$B$4/ADAPTATION!J47</f>
        <v>2.4999999999999991</v>
      </c>
      <c r="O47" s="10"/>
      <c r="Q47" s="135"/>
    </row>
    <row r="48" spans="1:17" ht="20.149999999999999" customHeight="1" x14ac:dyDescent="0.35">
      <c r="A48" s="1">
        <f t="shared" si="3"/>
        <v>2023</v>
      </c>
      <c r="B48" s="13">
        <f t="shared" si="4"/>
        <v>1336.6937888766647</v>
      </c>
      <c r="C48" s="13">
        <f t="shared" si="1"/>
        <v>334.17344721916606</v>
      </c>
      <c r="D48" s="4">
        <f>(4/PARAMETERS!$B$6)*C48/B48</f>
        <v>33.333333333333329</v>
      </c>
      <c r="E48" s="10">
        <f>PARAMETERS!$B$4*B48</f>
        <v>100.25203416574985</v>
      </c>
      <c r="F48" s="4">
        <f t="shared" si="2"/>
        <v>3.0000000000000009E-2</v>
      </c>
      <c r="G48" s="28">
        <f>PARAMETERS!$B$7*E48^PARAMETERS!$B$8</f>
        <v>10.507326138713861</v>
      </c>
      <c r="H48" s="13">
        <f>H47+G47+PARAMETERS!$B$14</f>
        <v>673.56608797651961</v>
      </c>
      <c r="I48" s="4">
        <f>PARAMETERS!$B$9*H48</f>
        <v>1.4749622364449335</v>
      </c>
      <c r="J48" s="141">
        <f>MAX(1/D48,1/D48+PARAMETERS!$B$10*(I48-PARAMETERS!$B$11))</f>
        <v>3.0000000000000006E-2</v>
      </c>
      <c r="K48" s="4">
        <f>MAX(0,ADAPTATION!K47-PARAMETERS!$B$17*(PARAMETERS!$B$16-ADAPTATION!L47))</f>
        <v>0.8</v>
      </c>
      <c r="L48" s="4">
        <f>PARAMETERS!$B$4/ADAPTATION!J48</f>
        <v>2.4999999999999996</v>
      </c>
      <c r="O48" s="10"/>
      <c r="Q48" s="135"/>
    </row>
    <row r="49" spans="1:20" ht="20.149999999999999" customHeight="1" x14ac:dyDescent="0.35">
      <c r="A49" s="1">
        <f t="shared" si="3"/>
        <v>2024</v>
      </c>
      <c r="B49" s="13">
        <f t="shared" si="4"/>
        <v>1376.7946025429646</v>
      </c>
      <c r="C49" s="13">
        <f t="shared" si="1"/>
        <v>344.19865063574105</v>
      </c>
      <c r="D49" s="4">
        <f>(4/PARAMETERS!$B$6)*C49/B49</f>
        <v>33.333333333333321</v>
      </c>
      <c r="E49" s="10">
        <f>PARAMETERS!$B$4*B49</f>
        <v>103.25959519072235</v>
      </c>
      <c r="F49" s="4">
        <f t="shared" si="2"/>
        <v>3.0000000000000075E-2</v>
      </c>
      <c r="G49" s="28">
        <f>PARAMETERS!$B$7*E49^PARAMETERS!$B$8</f>
        <v>10.674283483626231</v>
      </c>
      <c r="H49" s="13">
        <f>H48+G48+PARAMETERS!$B$14</f>
        <v>685.5734141152335</v>
      </c>
      <c r="I49" s="4">
        <f>PARAMETERS!$B$9*H49</f>
        <v>1.5012556513472268</v>
      </c>
      <c r="J49" s="141">
        <f>MAX(1/D49,1/D49+PARAMETERS!$B$10*(I49-PARAMETERS!$B$11))</f>
        <v>3.0018834770208412E-2</v>
      </c>
      <c r="K49" s="4">
        <f>MAX(0,ADAPTATION!K48-PARAMETERS!$B$17*(PARAMETERS!$B$16-ADAPTATION!L48))</f>
        <v>0.8</v>
      </c>
      <c r="L49" s="4">
        <f>PARAMETERS!$B$4/ADAPTATION!J49</f>
        <v>2.4984314206103773</v>
      </c>
      <c r="O49" s="10"/>
      <c r="Q49" s="135"/>
      <c r="S49" s="6"/>
    </row>
    <row r="50" spans="1:20" ht="20.149999999999999" customHeight="1" x14ac:dyDescent="0.35">
      <c r="A50" s="1">
        <f t="shared" si="3"/>
        <v>2025</v>
      </c>
      <c r="B50" s="13">
        <f t="shared" si="4"/>
        <v>1418.0725090092903</v>
      </c>
      <c r="C50" s="13">
        <f t="shared" si="1"/>
        <v>354.51812725232253</v>
      </c>
      <c r="D50" s="4">
        <f>(4/PARAMETERS!$B$6)*C50/B50</f>
        <v>33.333333333333329</v>
      </c>
      <c r="E50" s="10">
        <f>PARAMETERS!$B$4*B50</f>
        <v>106.35543817569678</v>
      </c>
      <c r="F50" s="4">
        <f t="shared" si="2"/>
        <v>2.9981165229791447E-2</v>
      </c>
      <c r="G50" s="28">
        <f>PARAMETERS!$B$7*E50^PARAMETERS!$B$8</f>
        <v>10.843787959165169</v>
      </c>
      <c r="H50" s="13">
        <f>H49+G49+PARAMETERS!$B$14</f>
        <v>697.74769759885976</v>
      </c>
      <c r="I50" s="4">
        <f>PARAMETERS!$B$9*H50</f>
        <v>1.5279146662748755</v>
      </c>
      <c r="J50" s="141">
        <f>MAX(1/D50,1/D50+PARAMETERS!$B$10*(I50-PARAMETERS!$B$11))</f>
        <v>3.0418719994123138E-2</v>
      </c>
      <c r="K50" s="4">
        <f>MAX(0,ADAPTATION!K49-PARAMETERS!$B$17*(PARAMETERS!$B$16-ADAPTATION!L49))</f>
        <v>0.79992157103051886</v>
      </c>
      <c r="L50" s="4">
        <f>PARAMETERS!$B$4/ADAPTATION!J50</f>
        <v>2.465586981125107</v>
      </c>
      <c r="O50" s="10"/>
      <c r="Q50" s="135"/>
      <c r="S50" s="6"/>
      <c r="T50" s="6"/>
    </row>
    <row r="51" spans="1:20" ht="20.149999999999999" customHeight="1" x14ac:dyDescent="0.35">
      <c r="A51" s="1">
        <f t="shared" si="3"/>
        <v>2026</v>
      </c>
      <c r="B51" s="13">
        <f t="shared" si="4"/>
        <v>1460.0125676195157</v>
      </c>
      <c r="C51" s="13">
        <f t="shared" si="1"/>
        <v>365.01356858914738</v>
      </c>
      <c r="D51" s="4">
        <f>(4/PARAMETERS!$B$6)*C51/B51</f>
        <v>33.334285533745827</v>
      </c>
      <c r="E51" s="10">
        <f>PARAMETERS!$B$4*B51</f>
        <v>109.50094257146368</v>
      </c>
      <c r="F51" s="4">
        <f t="shared" si="2"/>
        <v>2.9575397833165842E-2</v>
      </c>
      <c r="G51" s="28">
        <f>PARAMETERS!$B$7*E51^PARAMETERS!$B$8</f>
        <v>11.013669335278491</v>
      </c>
      <c r="H51" s="13">
        <f>H50+G50+PARAMETERS!$B$14</f>
        <v>710.09148555802494</v>
      </c>
      <c r="I51" s="4">
        <f>PARAMETERS!$B$9*H51</f>
        <v>1.5549448588861861</v>
      </c>
      <c r="J51" s="141">
        <f>MAX(1/D51,1/D51+PARAMETERS!$B$10*(I51-PARAMETERS!$B$11))</f>
        <v>3.0823315927401358E-2</v>
      </c>
      <c r="K51" s="4">
        <f>MAX(0,ADAPTATION!K50-PARAMETERS!$B$17*(PARAMETERS!$B$16-ADAPTATION!L50))</f>
        <v>0.79820092008677423</v>
      </c>
      <c r="L51" s="4">
        <f>PARAMETERS!$B$4/ADAPTATION!J51</f>
        <v>2.433222959419703</v>
      </c>
      <c r="O51" s="10"/>
      <c r="Q51" s="135"/>
      <c r="S51" s="6"/>
      <c r="T51" s="6"/>
    </row>
    <row r="52" spans="1:20" ht="20.149999999999999" customHeight="1" x14ac:dyDescent="0.35">
      <c r="A52" s="1">
        <f t="shared" si="3"/>
        <v>2027</v>
      </c>
      <c r="B52" s="13">
        <f t="shared" si="4"/>
        <v>1502.4138921007143</v>
      </c>
      <c r="C52" s="13">
        <f t="shared" si="1"/>
        <v>375.85982950728823</v>
      </c>
      <c r="D52" s="4">
        <f>(4/PARAMETERS!$B$6)*C52/B52</f>
        <v>33.356083964474998</v>
      </c>
      <c r="E52" s="10">
        <f>PARAMETERS!$B$4*B52</f>
        <v>112.68104190755356</v>
      </c>
      <c r="F52" s="4">
        <f t="shared" si="2"/>
        <v>2.904175307910661E-2</v>
      </c>
      <c r="G52" s="28">
        <f>PARAMETERS!$B$7*E52^PARAMETERS!$B$8</f>
        <v>11.183119480565097</v>
      </c>
      <c r="H52" s="13">
        <f>H51+G51+PARAMETERS!$B$14</f>
        <v>722.60515489330339</v>
      </c>
      <c r="I52" s="4">
        <f>PARAMETERS!$B$9*H52</f>
        <v>1.5823470545108835</v>
      </c>
      <c r="J52" s="141">
        <f>MAX(1/D52,1/D52+PARAMETERS!$B$10*(I52-PARAMETERS!$B$11))</f>
        <v>3.1214744215066953E-2</v>
      </c>
      <c r="K52" s="4">
        <f>MAX(0,ADAPTATION!K51-PARAMETERS!$B$17*(PARAMETERS!$B$16-ADAPTATION!L51))</f>
        <v>0.79486206805775939</v>
      </c>
      <c r="L52" s="4">
        <f>PARAMETERS!$B$4/ADAPTATION!J52</f>
        <v>2.4027107024570289</v>
      </c>
      <c r="O52" s="10"/>
      <c r="Q52" s="135"/>
      <c r="T52" s="6"/>
    </row>
    <row r="53" spans="1:20" ht="20.149999999999999" customHeight="1" x14ac:dyDescent="0.35">
      <c r="A53" s="1">
        <f t="shared" si="3"/>
        <v>2028</v>
      </c>
      <c r="B53" s="13">
        <f t="shared" si="4"/>
        <v>1545.0823127551682</v>
      </c>
      <c r="C53" s="13">
        <f t="shared" si="1"/>
        <v>387.24261697451203</v>
      </c>
      <c r="D53" s="4">
        <f>(4/PARAMETERS!$B$6)*C53/B53</f>
        <v>33.417215706692602</v>
      </c>
      <c r="E53" s="10">
        <f>PARAMETERS!$B$4*B53</f>
        <v>115.88117345663761</v>
      </c>
      <c r="F53" s="4">
        <f t="shared" si="2"/>
        <v>2.8399910889264929E-2</v>
      </c>
      <c r="G53" s="28">
        <f>PARAMETERS!$B$7*E53^PARAMETERS!$B$8</f>
        <v>11.351398785178223</v>
      </c>
      <c r="H53" s="13">
        <f>H52+G52+PARAMETERS!$B$14</f>
        <v>735.28827437386849</v>
      </c>
      <c r="I53" s="4">
        <f>PARAMETERS!$B$9*H53</f>
        <v>1.6101203088478873</v>
      </c>
      <c r="J53" s="141">
        <f>MAX(1/D53,1/D53+PARAMETERS!$B$10*(I53-PARAMETERS!$B$11))</f>
        <v>3.1576499998637916E-2</v>
      </c>
      <c r="K53" s="4">
        <f>MAX(0,ADAPTATION!K52-PARAMETERS!$B$17*(PARAMETERS!$B$16-ADAPTATION!L52))</f>
        <v>0.78999760318061085</v>
      </c>
      <c r="L53" s="4">
        <f>PARAMETERS!$B$4/ADAPTATION!J53</f>
        <v>2.3751840768684054</v>
      </c>
      <c r="O53" s="10"/>
      <c r="Q53" s="135"/>
    </row>
    <row r="54" spans="1:20" ht="20.149999999999999" customHeight="1" x14ac:dyDescent="0.35">
      <c r="A54" s="1">
        <f t="shared" si="3"/>
        <v>2029</v>
      </c>
      <c r="B54" s="13">
        <f t="shared" si="4"/>
        <v>1587.8398703930595</v>
      </c>
      <c r="C54" s="13">
        <f t="shared" si="1"/>
        <v>399.35017465228111</v>
      </c>
      <c r="D54" s="4">
        <f>(4/PARAMETERS!$B$6)*C54/B54</f>
        <v>33.534042661654922</v>
      </c>
      <c r="E54" s="10">
        <f>PARAMETERS!$B$4*B54</f>
        <v>119.08799027947946</v>
      </c>
      <c r="F54" s="4">
        <f t="shared" si="2"/>
        <v>2.7673320239907869E-2</v>
      </c>
      <c r="G54" s="28">
        <f>PARAMETERS!$B$7*E54^PARAMETERS!$B$8</f>
        <v>11.517867851525439</v>
      </c>
      <c r="H54" s="13">
        <f>H53+G53+PARAMETERS!$B$14</f>
        <v>748.13967315904677</v>
      </c>
      <c r="I54" s="4">
        <f>PARAMETERS!$B$9*H54</f>
        <v>1.6382620580125113</v>
      </c>
      <c r="J54" s="141">
        <f>MAX(1/D54,1/D54+PARAMETERS!$B$10*(I54-PARAMETERS!$B$11))</f>
        <v>3.1894373639036036E-2</v>
      </c>
      <c r="K54" s="4">
        <f>MAX(0,ADAPTATION!K53-PARAMETERS!$B$17*(PARAMETERS!$B$16-ADAPTATION!L53))</f>
        <v>0.78375680702403117</v>
      </c>
      <c r="L54" s="4">
        <f>PARAMETERS!$B$4/ADAPTATION!J54</f>
        <v>2.3515119264861903</v>
      </c>
      <c r="O54" s="10"/>
      <c r="Q54" s="135"/>
    </row>
    <row r="55" spans="1:20" ht="20.149999999999999" customHeight="1" x14ac:dyDescent="0.35">
      <c r="A55" s="1">
        <f t="shared" si="3"/>
        <v>2030</v>
      </c>
      <c r="B55" s="13">
        <f t="shared" si="4"/>
        <v>1630.5327353041384</v>
      </c>
      <c r="C55" s="13">
        <f t="shared" si="1"/>
        <v>412.36511823223276</v>
      </c>
      <c r="D55" s="4">
        <f>(4/PARAMETERS!$B$6)*C55/B55</f>
        <v>33.720277166984985</v>
      </c>
      <c r="E55" s="10">
        <f>PARAMETERS!$B$4*B55</f>
        <v>122.28995514781037</v>
      </c>
      <c r="F55" s="4">
        <f t="shared" si="2"/>
        <v>2.6887386887766318E-2</v>
      </c>
      <c r="G55" s="28">
        <f>PARAMETERS!$B$7*E55^PARAMETERS!$B$8</f>
        <v>11.682010577914026</v>
      </c>
      <c r="H55" s="13">
        <f>H54+G54+PARAMETERS!$B$14</f>
        <v>761.15754101057223</v>
      </c>
      <c r="I55" s="4">
        <f>PARAMETERS!$B$9*H55</f>
        <v>1.6667683379793554</v>
      </c>
      <c r="J55" s="141">
        <f>MAX(1/D55,1/D55+PARAMETERS!$B$10*(I55-PARAMETERS!$B$11))</f>
        <v>3.2157271819574257E-2</v>
      </c>
      <c r="K55" s="4">
        <f>MAX(0,ADAPTATION!K54-PARAMETERS!$B$17*(PARAMETERS!$B$16-ADAPTATION!L54))</f>
        <v>0.77633240334834064</v>
      </c>
      <c r="L55" s="4">
        <f>PARAMETERS!$B$4/ADAPTATION!J55</f>
        <v>2.3322874036331402</v>
      </c>
      <c r="O55" s="10"/>
      <c r="Q55" s="135"/>
    </row>
    <row r="56" spans="1:20" ht="20.149999999999999" customHeight="1" x14ac:dyDescent="0.35">
      <c r="A56" s="1">
        <f t="shared" si="3"/>
        <v>2031</v>
      </c>
      <c r="B56" s="13">
        <f t="shared" si="4"/>
        <v>1673.0369057095097</v>
      </c>
      <c r="C56" s="13">
        <f t="shared" si="1"/>
        <v>426.45688139887795</v>
      </c>
      <c r="D56" s="4">
        <f>(4/PARAMETERS!$B$6)*C56/B56</f>
        <v>33.986648666149144</v>
      </c>
      <c r="E56" s="10">
        <f>PARAMETERS!$B$4*B56</f>
        <v>125.47776792821323</v>
      </c>
      <c r="F56" s="4">
        <f t="shared" si="2"/>
        <v>2.6067658431551313E-2</v>
      </c>
      <c r="G56" s="28">
        <f>PARAMETERS!$B$7*E56^PARAMETERS!$B$8</f>
        <v>11.843447190820113</v>
      </c>
      <c r="H56" s="13">
        <f>H55+G55+PARAMETERS!$B$14</f>
        <v>774.3395515884863</v>
      </c>
      <c r="I56" s="4">
        <f>PARAMETERS!$B$9*H56</f>
        <v>1.6956340545733277</v>
      </c>
      <c r="J56" s="141">
        <f>MAX(1/D56,1/D56+PARAMETERS!$B$10*(I56-PARAMETERS!$B$11))</f>
        <v>3.2357829658389042E-2</v>
      </c>
      <c r="K56" s="4">
        <f>MAX(0,ADAPTATION!K55-PARAMETERS!$B$17*(PARAMETERS!$B$16-ADAPTATION!L55))</f>
        <v>0.76794677352999763</v>
      </c>
      <c r="L56" s="4">
        <f>PARAMETERS!$B$4/ADAPTATION!J56</f>
        <v>2.3178315972299957</v>
      </c>
      <c r="O56" s="10"/>
      <c r="Q56" s="135"/>
    </row>
    <row r="57" spans="1:20" ht="20.149999999999999" customHeight="1" x14ac:dyDescent="0.35">
      <c r="A57" s="1">
        <f t="shared" si="3"/>
        <v>2032</v>
      </c>
      <c r="B57" s="13">
        <f t="shared" si="4"/>
        <v>1715.2613095325803</v>
      </c>
      <c r="C57" s="13">
        <f t="shared" si="1"/>
        <v>441.77518317192136</v>
      </c>
      <c r="D57" s="4">
        <f>(4/PARAMETERS!$B$6)*C57/B57</f>
        <v>34.340748799556216</v>
      </c>
      <c r="E57" s="10">
        <f>PARAMETERS!$B$4*B57</f>
        <v>128.64459821494353</v>
      </c>
      <c r="F57" s="4">
        <f t="shared" si="2"/>
        <v>2.5238178356360864E-2</v>
      </c>
      <c r="G57" s="28">
        <f>PARAMETERS!$B$7*E57^PARAMETERS!$B$8</f>
        <v>12.001936888527602</v>
      </c>
      <c r="H57" s="13">
        <f>H56+G56+PARAMETERS!$B$14</f>
        <v>787.68299877930644</v>
      </c>
      <c r="I57" s="4">
        <f>PARAMETERS!$B$9*H57</f>
        <v>1.7248532819984814</v>
      </c>
      <c r="J57" s="141">
        <f>MAX(1/D57,1/D57+PARAMETERS!$B$10*(I57-PARAMETERS!$B$11))</f>
        <v>3.2492723371320434E-2</v>
      </c>
      <c r="K57" s="4">
        <f>MAX(0,ADAPTATION!K56-PARAMETERS!$B$17*(PARAMETERS!$B$16-ADAPTATION!L56))</f>
        <v>0.75883835339149741</v>
      </c>
      <c r="L57" s="4">
        <f>PARAMETERS!$B$4/ADAPTATION!J57</f>
        <v>2.3082091070949882</v>
      </c>
      <c r="O57" s="10"/>
      <c r="Q57" s="135"/>
    </row>
    <row r="58" spans="1:20" ht="20.149999999999999" customHeight="1" x14ac:dyDescent="0.35">
      <c r="A58" s="1">
        <f t="shared" si="3"/>
        <v>2033</v>
      </c>
      <c r="B58" s="13">
        <f t="shared" si="4"/>
        <v>1757.1482533745479</v>
      </c>
      <c r="C58" s="13">
        <f t="shared" si="1"/>
        <v>458.44484748560672</v>
      </c>
      <c r="D58" s="4">
        <f>(4/PARAMETERS!$B$6)*C58/B58</f>
        <v>34.787036066738843</v>
      </c>
      <c r="E58" s="10">
        <f>PARAMETERS!$B$4*B58</f>
        <v>131.7861190030911</v>
      </c>
      <c r="F58" s="4">
        <f t="shared" si="2"/>
        <v>2.4420153133041932E-2</v>
      </c>
      <c r="G58" s="28">
        <f>PARAMETERS!$B$7*E58^PARAMETERS!$B$8</f>
        <v>12.157370887016068</v>
      </c>
      <c r="H58" s="13">
        <f>H57+G57+PARAMETERS!$B$14</f>
        <v>801.184935667834</v>
      </c>
      <c r="I58" s="4">
        <f>PARAMETERS!$B$9*H58</f>
        <v>1.7544195671558411</v>
      </c>
      <c r="J58" s="141">
        <f>MAX(1/D58,1/D58+PARAMETERS!$B$10*(I58-PARAMETERS!$B$11))</f>
        <v>3.2562634474170848E-2</v>
      </c>
      <c r="K58" s="4">
        <f>MAX(0,ADAPTATION!K57-PARAMETERS!$B$17*(PARAMETERS!$B$16-ADAPTATION!L57))</f>
        <v>0.74924880874624677</v>
      </c>
      <c r="L58" s="4">
        <f>PARAMETERS!$B$4/ADAPTATION!J58</f>
        <v>2.3032534440507595</v>
      </c>
      <c r="O58" s="10"/>
      <c r="Q58" s="135"/>
      <c r="S58" s="6"/>
    </row>
    <row r="59" spans="1:20" ht="20.149999999999999" customHeight="1" x14ac:dyDescent="0.35">
      <c r="A59" s="1">
        <f t="shared" si="3"/>
        <v>2034</v>
      </c>
      <c r="B59" s="13">
        <f t="shared" si="4"/>
        <v>1798.6714697553418</v>
      </c>
      <c r="C59" s="13">
        <f t="shared" si="1"/>
        <v>476.5622018210999</v>
      </c>
      <c r="D59" s="4">
        <f>(4/PARAMETERS!$B$6)*C59/B59</f>
        <v>35.326977704340322</v>
      </c>
      <c r="E59" s="10">
        <f>PARAMETERS!$B$4*B59</f>
        <v>134.90036023165064</v>
      </c>
      <c r="F59" s="4">
        <f t="shared" si="2"/>
        <v>2.3631026181797566E-2</v>
      </c>
      <c r="G59" s="28">
        <f>PARAMETERS!$B$7*E59^PARAMETERS!$B$8</f>
        <v>12.309757602691574</v>
      </c>
      <c r="H59" s="13">
        <f>H58+G58+PARAMETERS!$B$14</f>
        <v>814.8423065548501</v>
      </c>
      <c r="I59" s="4">
        <f>PARAMETERS!$B$9*H59</f>
        <v>1.7843262187332485</v>
      </c>
      <c r="J59" s="141">
        <f>MAX(1/D59,1/D59+PARAMETERS!$B$10*(I59-PARAMETERS!$B$11))</f>
        <v>3.2571871827797499E-2</v>
      </c>
      <c r="K59" s="4">
        <f>MAX(0,ADAPTATION!K58-PARAMETERS!$B$17*(PARAMETERS!$B$16-ADAPTATION!L58))</f>
        <v>0.73941148094878473</v>
      </c>
      <c r="L59" s="4">
        <f>PARAMETERS!$B$4/ADAPTATION!J59</f>
        <v>2.3026002434405219</v>
      </c>
      <c r="O59" s="10"/>
      <c r="Q59" s="135"/>
      <c r="T59" s="6"/>
    </row>
    <row r="60" spans="1:20" ht="20.149999999999999" customHeight="1" x14ac:dyDescent="0.35">
      <c r="A60" s="1">
        <f t="shared" si="3"/>
        <v>2035</v>
      </c>
      <c r="B60" s="13">
        <f t="shared" si="4"/>
        <v>1839.8322483215641</v>
      </c>
      <c r="C60" s="13">
        <f t="shared" si="1"/>
        <v>496.19316395765134</v>
      </c>
      <c r="D60" s="4">
        <f>(4/PARAMETERS!$B$6)*C60/B60</f>
        <v>35.959304761639132</v>
      </c>
      <c r="E60" s="10">
        <f>PARAMETERS!$B$4*B60</f>
        <v>137.98741862411731</v>
      </c>
      <c r="F60" s="4">
        <f t="shared" si="2"/>
        <v>2.2883989243361415E-2</v>
      </c>
      <c r="G60" s="28">
        <f>PARAMETERS!$B$7*E60^PARAMETERS!$B$8</f>
        <v>12.459202301138358</v>
      </c>
      <c r="H60" s="13">
        <f>H59+G59+PARAMETERS!$B$14</f>
        <v>828.65206415754164</v>
      </c>
      <c r="I60" s="4">
        <f>PARAMETERS!$B$9*H60</f>
        <v>1.8145665638486315</v>
      </c>
      <c r="J60" s="141">
        <f>MAX(1/D60,1/D60+PARAMETERS!$B$10*(I60-PARAMETERS!$B$11))</f>
        <v>3.2527712418584064E-2</v>
      </c>
      <c r="K60" s="4">
        <f>MAX(0,ADAPTATION!K59-PARAMETERS!$B$17*(PARAMETERS!$B$16-ADAPTATION!L59))</f>
        <v>0.72954149312081085</v>
      </c>
      <c r="L60" s="4">
        <f>PARAMETERS!$B$4/ADAPTATION!J60</f>
        <v>2.3057262384412325</v>
      </c>
      <c r="O60" s="10"/>
      <c r="Q60" s="135"/>
    </row>
    <row r="61" spans="1:20" ht="20.149999999999999" customHeight="1" x14ac:dyDescent="0.35">
      <c r="A61" s="1">
        <f t="shared" si="3"/>
        <v>2036</v>
      </c>
      <c r="B61" s="13">
        <f t="shared" si="4"/>
        <v>1880.6542614646482</v>
      </c>
      <c r="C61" s="13">
        <f t="shared" si="1"/>
        <v>517.37300662556186</v>
      </c>
      <c r="D61" s="4">
        <f>(4/PARAMETERS!$B$6)*C61/B61</f>
        <v>36.68035585464343</v>
      </c>
      <c r="E61" s="10">
        <f>PARAMETERS!$B$4*B61</f>
        <v>141.0490696098486</v>
      </c>
      <c r="F61" s="4">
        <f t="shared" si="2"/>
        <v>2.2187899565476604E-2</v>
      </c>
      <c r="G61" s="28">
        <f>PARAMETERS!$B$7*E61^PARAMETERS!$B$8</f>
        <v>12.60588371337793</v>
      </c>
      <c r="H61" s="13">
        <f>H60+G60+PARAMETERS!$B$14</f>
        <v>842.61126645868001</v>
      </c>
      <c r="I61" s="4">
        <f>PARAMETERS!$B$9*H61</f>
        <v>1.8451341601284965</v>
      </c>
      <c r="J61" s="141">
        <f>MAX(1/D61,1/D61+PARAMETERS!$B$10*(I61-PARAMETERS!$B$11))</f>
        <v>3.2439561433970393E-2</v>
      </c>
      <c r="K61" s="4">
        <f>MAX(0,ADAPTATION!K60-PARAMETERS!$B$17*(PARAMETERS!$B$16-ADAPTATION!L60))</f>
        <v>0.71982780504287247</v>
      </c>
      <c r="L61" s="4">
        <f>PARAMETERS!$B$4/ADAPTATION!J61</f>
        <v>2.3119917990463561</v>
      </c>
      <c r="O61" s="10"/>
      <c r="Q61" s="135"/>
    </row>
    <row r="62" spans="1:20" ht="20.149999999999999" customHeight="1" x14ac:dyDescent="0.35">
      <c r="A62" s="1">
        <f t="shared" si="3"/>
        <v>2037</v>
      </c>
      <c r="B62" s="13">
        <f t="shared" si="4"/>
        <v>1921.1777041944042</v>
      </c>
      <c r="C62" s="13">
        <f t="shared" si="1"/>
        <v>540.10768062210582</v>
      </c>
      <c r="D62" s="4">
        <f>(4/PARAMETERS!$B$6)*C62/B62</f>
        <v>37.484485302455724</v>
      </c>
      <c r="E62" s="10">
        <f>PARAMETERS!$B$4*B62</f>
        <v>144.08832781458031</v>
      </c>
      <c r="F62" s="4">
        <f t="shared" si="2"/>
        <v>2.1547523944245119E-2</v>
      </c>
      <c r="G62" s="28">
        <f>PARAMETERS!$B$7*E62^PARAMETERS!$B$8</f>
        <v>12.750029906538639</v>
      </c>
      <c r="H62" s="13">
        <f>H61+G61+PARAMETERS!$B$14</f>
        <v>856.71715017205793</v>
      </c>
      <c r="I62" s="4">
        <f>PARAMETERS!$B$9*H62</f>
        <v>1.8760229565811488</v>
      </c>
      <c r="J62" s="141">
        <f>MAX(1/D62,1/D62+PARAMETERS!$B$10*(I62-PARAMETERS!$B$11))</f>
        <v>3.2318048255578317E-2</v>
      </c>
      <c r="K62" s="4">
        <f>MAX(0,ADAPTATION!K61-PARAMETERS!$B$17*(PARAMETERS!$B$16-ADAPTATION!L61))</f>
        <v>0.71042739499519025</v>
      </c>
      <c r="L62" s="4">
        <f>PARAMETERS!$B$4/ADAPTATION!J62</f>
        <v>2.320684696268887</v>
      </c>
      <c r="O62" s="10"/>
      <c r="Q62" s="135"/>
    </row>
    <row r="63" spans="1:20" ht="20.149999999999999" customHeight="1" x14ac:dyDescent="0.35">
      <c r="A63" s="1">
        <f t="shared" si="3"/>
        <v>2038</v>
      </c>
      <c r="B63" s="13">
        <f t="shared" si="4"/>
        <v>1961.4532858212335</v>
      </c>
      <c r="C63" s="13">
        <f t="shared" si="1"/>
        <v>564.37648697260715</v>
      </c>
      <c r="D63" s="4">
        <f>(4/PARAMETERS!$B$6)*C63/B63</f>
        <v>38.364512072235286</v>
      </c>
      <c r="E63" s="10">
        <f>PARAMETERS!$B$4*B63</f>
        <v>147.10899643659252</v>
      </c>
      <c r="F63" s="4">
        <f t="shared" si="2"/>
        <v>2.096400636906099E-2</v>
      </c>
      <c r="G63" s="28">
        <f>PARAMETERS!$B$7*E63^PARAMETERS!$B$8</f>
        <v>12.891895215013246</v>
      </c>
      <c r="H63" s="13">
        <f>H62+G62+PARAMETERS!$B$14</f>
        <v>870.96718007859658</v>
      </c>
      <c r="I63" s="4">
        <f>PARAMETERS!$B$9*H63</f>
        <v>1.9072274016319635</v>
      </c>
      <c r="J63" s="141">
        <f>MAX(1/D63,1/D63+PARAMETERS!$B$10*(I63-PARAMETERS!$B$11))</f>
        <v>3.2174166744691209E-2</v>
      </c>
      <c r="K63" s="4">
        <f>MAX(0,ADAPTATION!K62-PARAMETERS!$B$17*(PARAMETERS!$B$16-ADAPTATION!L62))</f>
        <v>0.70146162980863458</v>
      </c>
      <c r="L63" s="4">
        <f>PARAMETERS!$B$4/ADAPTATION!J63</f>
        <v>2.3310626999337947</v>
      </c>
      <c r="O63" s="10"/>
      <c r="Q63" s="135"/>
    </row>
    <row r="64" spans="1:20" ht="20.149999999999999" customHeight="1" x14ac:dyDescent="0.35">
      <c r="A64" s="1">
        <f t="shared" si="3"/>
        <v>2039</v>
      </c>
      <c r="B64" s="13">
        <f t="shared" si="4"/>
        <v>2001.5364771412237</v>
      </c>
      <c r="C64" s="13">
        <f t="shared" si="1"/>
        <v>590.13582381063509</v>
      </c>
      <c r="D64" s="4">
        <f>(4/PARAMETERS!$B$6)*C64/B64</f>
        <v>39.312187115605028</v>
      </c>
      <c r="E64" s="10">
        <f>PARAMETERS!$B$4*B64</f>
        <v>150.11523578559178</v>
      </c>
      <c r="F64" s="4">
        <f t="shared" si="2"/>
        <v>2.0435455490956458E-2</v>
      </c>
      <c r="G64" s="28">
        <f>PARAMETERS!$B$7*E64^PARAMETERS!$B$8</f>
        <v>13.031739447241247</v>
      </c>
      <c r="H64" s="13">
        <f>H63+G63+PARAMETERS!$B$14</f>
        <v>885.35907529360986</v>
      </c>
      <c r="I64" s="4">
        <f>PARAMETERS!$B$9*H64</f>
        <v>1.9387425006429415</v>
      </c>
      <c r="J64" s="141">
        <f>MAX(1/D64,1/D64+PARAMETERS!$B$10*(I64-PARAMETERS!$B$11))</f>
        <v>3.20185418712816E-2</v>
      </c>
      <c r="K64" s="4">
        <f>MAX(0,ADAPTATION!K63-PARAMETERS!$B$17*(PARAMETERS!$B$16-ADAPTATION!L63))</f>
        <v>0.69301476480532431</v>
      </c>
      <c r="L64" s="4">
        <f>PARAMETERS!$B$4/ADAPTATION!J64</f>
        <v>2.3423927392293202</v>
      </c>
      <c r="O64" s="10"/>
      <c r="Q64" s="135"/>
    </row>
    <row r="65" spans="1:23" ht="20.149999999999999" customHeight="1" x14ac:dyDescent="0.35">
      <c r="A65" s="1">
        <f t="shared" si="3"/>
        <v>2040</v>
      </c>
      <c r="B65" s="13">
        <f t="shared" si="4"/>
        <v>2041.4822724626276</v>
      </c>
      <c r="C65" s="13">
        <f t="shared" si="1"/>
        <v>617.32369619015515</v>
      </c>
      <c r="D65" s="4">
        <f>(4/PARAMETERS!$B$6)*C65/B65</f>
        <v>40.318658294983635</v>
      </c>
      <c r="E65" s="10">
        <f>PARAMETERS!$B$4*B65</f>
        <v>153.11117043469707</v>
      </c>
      <c r="F65" s="4">
        <f t="shared" si="2"/>
        <v>1.9957565489117708E-2</v>
      </c>
      <c r="G65" s="28">
        <f>PARAMETERS!$B$7*E65^PARAMETERS!$B$8</f>
        <v>13.169810021783951</v>
      </c>
      <c r="H65" s="13">
        <f>H64+G64+PARAMETERS!$B$14</f>
        <v>899.89081474085106</v>
      </c>
      <c r="I65" s="4">
        <f>PARAMETERS!$B$9*H65</f>
        <v>1.970563827899674</v>
      </c>
      <c r="J65" s="141">
        <f>MAX(1/D65,1/D65+PARAMETERS!$B$10*(I65-PARAMETERS!$B$11))</f>
        <v>3.1860870055435905E-2</v>
      </c>
      <c r="K65" s="4">
        <f>MAX(0,ADAPTATION!K64-PARAMETERS!$B$17*(PARAMETERS!$B$16-ADAPTATION!L64))</f>
        <v>0.6851344017667903</v>
      </c>
      <c r="L65" s="4">
        <f>PARAMETERS!$B$4/ADAPTATION!J65</f>
        <v>2.3539846799382667</v>
      </c>
      <c r="O65" s="10"/>
      <c r="Q65" s="135"/>
    </row>
    <row r="66" spans="1:23" ht="20.149999999999999" customHeight="1" x14ac:dyDescent="0.35">
      <c r="A66" s="1">
        <f t="shared" si="3"/>
        <v>2041</v>
      </c>
      <c r="B66" s="13">
        <f t="shared" si="4"/>
        <v>2081.3406012188093</v>
      </c>
      <c r="C66" s="13">
        <f t="shared" si="1"/>
        <v>645.864666398807</v>
      </c>
      <c r="D66" s="4">
        <f>(4/PARAMETERS!$B$6)*C66/B66</f>
        <v>41.374914227275511</v>
      </c>
      <c r="E66" s="10">
        <f>PARAMETERS!$B$4*B66</f>
        <v>156.10054509141068</v>
      </c>
      <c r="F66" s="4">
        <f t="shared" si="2"/>
        <v>1.9524210077073348E-2</v>
      </c>
      <c r="G66" s="28">
        <f>PARAMETERS!$B$7*E66^PARAMETERS!$B$8</f>
        <v>13.30632724376696</v>
      </c>
      <c r="H66" s="13">
        <f>H65+G65+PARAMETERS!$B$14</f>
        <v>914.56062476263503</v>
      </c>
      <c r="I66" s="4">
        <f>PARAMETERS!$B$9*H66</f>
        <v>2.0026874994802228</v>
      </c>
      <c r="J66" s="141">
        <f>MAX(1/D66,1/D66+PARAMETERS!$B$10*(I66-PARAMETERS!$B$11))</f>
        <v>3.1709546886428908E-2</v>
      </c>
      <c r="K66" s="4">
        <f>MAX(0,ADAPTATION!K65-PARAMETERS!$B$17*(PARAMETERS!$B$16-ADAPTATION!L65))</f>
        <v>0.67783363576370359</v>
      </c>
      <c r="L66" s="4">
        <f>PARAMETERS!$B$4/ADAPTATION!J66</f>
        <v>2.3652182816935361</v>
      </c>
      <c r="O66" s="10"/>
      <c r="Q66" s="135"/>
    </row>
    <row r="67" spans="1:23" ht="20.149999999999999" customHeight="1" x14ac:dyDescent="0.35">
      <c r="A67" s="1">
        <f t="shared" si="3"/>
        <v>2042</v>
      </c>
      <c r="B67" s="13">
        <f t="shared" si="4"/>
        <v>2121.1524338618401</v>
      </c>
      <c r="C67" s="13">
        <f t="shared" si="1"/>
        <v>675.67493554475004</v>
      </c>
      <c r="D67" s="4">
        <f>(4/PARAMETERS!$B$6)*C67/B67</f>
        <v>42.472191044726507</v>
      </c>
      <c r="E67" s="10">
        <f>PARAMETERS!$B$4*B67</f>
        <v>159.086432539638</v>
      </c>
      <c r="F67" s="4">
        <f t="shared" si="2"/>
        <v>1.9127975795848857E-2</v>
      </c>
      <c r="G67" s="28">
        <f>PARAMETERS!$B$7*E67^PARAMETERS!$B$8</f>
        <v>13.441472640470296</v>
      </c>
      <c r="H67" s="13">
        <f>H66+G66+PARAMETERS!$B$14</f>
        <v>929.36695200640202</v>
      </c>
      <c r="I67" s="4">
        <f>PARAMETERS!$B$9*H67</f>
        <v>2.0351101138826322</v>
      </c>
      <c r="J67" s="141">
        <f>MAX(1/D67,1/D67+PARAMETERS!$B$10*(I67-PARAMETERS!$B$11))</f>
        <v>3.1571469514952648E-2</v>
      </c>
      <c r="K67" s="4">
        <f>MAX(0,ADAPTATION!K66-PARAMETERS!$B$17*(PARAMETERS!$B$16-ADAPTATION!L66))</f>
        <v>0.67109454984838035</v>
      </c>
      <c r="L67" s="4">
        <f>PARAMETERS!$B$4/ADAPTATION!J67</f>
        <v>2.3755625301026626</v>
      </c>
      <c r="O67" s="10"/>
      <c r="Q67" s="135"/>
    </row>
    <row r="68" spans="1:23" ht="20.149999999999999" customHeight="1" x14ac:dyDescent="0.35">
      <c r="A68" s="1">
        <f t="shared" si="3"/>
        <v>2043</v>
      </c>
      <c r="B68" s="13">
        <f t="shared" si="4"/>
        <v>2160.9465722917766</v>
      </c>
      <c r="C68" s="13">
        <f t="shared" si="1"/>
        <v>706.66727962264622</v>
      </c>
      <c r="D68" s="4">
        <f>(4/PARAMETERS!$B$6)*C68/B68</f>
        <v>43.60232925599793</v>
      </c>
      <c r="E68" s="10">
        <f>PARAMETERS!$B$4*B68</f>
        <v>162.07099292188323</v>
      </c>
      <c r="F68" s="4">
        <f t="shared" si="2"/>
        <v>1.8760621723675909E-2</v>
      </c>
      <c r="G68" s="28">
        <f>PARAMETERS!$B$7*E68^PARAMETERS!$B$8</f>
        <v>13.575380118936744</v>
      </c>
      <c r="H68" s="13">
        <f>H67+G67+PARAMETERS!$B$14</f>
        <v>944.30842464687237</v>
      </c>
      <c r="I68" s="4">
        <f>PARAMETERS!$B$9*H68</f>
        <v>2.0678286671099397</v>
      </c>
      <c r="J68" s="141">
        <f>MAX(1/D68,1/D68+PARAMETERS!$B$10*(I68-PARAMETERS!$B$11))</f>
        <v>3.1451984583511297E-2</v>
      </c>
      <c r="K68" s="4">
        <f>MAX(0,ADAPTATION!K67-PARAMETERS!$B$17*(PARAMETERS!$B$16-ADAPTATION!L67))</f>
        <v>0.66487267635351344</v>
      </c>
      <c r="L68" s="4">
        <f>PARAMETERS!$B$4/ADAPTATION!J68</f>
        <v>2.3845872046916474</v>
      </c>
      <c r="O68" s="10"/>
      <c r="Q68" s="135"/>
      <c r="U68" s="6"/>
    </row>
    <row r="69" spans="1:23" ht="20.149999999999999" customHeight="1" x14ac:dyDescent="0.35">
      <c r="A69" s="1">
        <f t="shared" si="3"/>
        <v>2044</v>
      </c>
      <c r="B69" s="13">
        <f t="shared" si="4"/>
        <v>2200.7370888375076</v>
      </c>
      <c r="C69" s="13">
        <f t="shared" si="1"/>
        <v>738.75560933692225</v>
      </c>
      <c r="D69" s="4">
        <f>(4/PARAMETERS!$B$6)*C69/B69</f>
        <v>44.758071471236285</v>
      </c>
      <c r="E69" s="10">
        <f>PARAMETERS!$B$4*B69</f>
        <v>165.05528166281306</v>
      </c>
      <c r="F69" s="4">
        <f t="shared" si="2"/>
        <v>1.8413466143002082E-2</v>
      </c>
      <c r="G69" s="28">
        <f>PARAMETERS!$B$7*E69^PARAMETERS!$B$8</f>
        <v>13.708129651141531</v>
      </c>
      <c r="H69" s="13">
        <f>H68+G68+PARAMETERS!$B$14</f>
        <v>959.38380476580915</v>
      </c>
      <c r="I69" s="4">
        <f>PARAMETERS!$B$9*H69</f>
        <v>2.1008404483922831</v>
      </c>
      <c r="J69" s="141">
        <f>MAX(1/D69,1/D69+PARAMETERS!$B$10*(I69-PARAMETERS!$B$11))</f>
        <v>3.1354945596374875E-2</v>
      </c>
      <c r="K69" s="4">
        <f>MAX(0,ADAPTATION!K68-PARAMETERS!$B$17*(PARAMETERS!$B$16-ADAPTATION!L68))</f>
        <v>0.65910203658809585</v>
      </c>
      <c r="L69" s="4">
        <f>PARAMETERS!$B$4/ADAPTATION!J69</f>
        <v>2.3919671545745298</v>
      </c>
      <c r="O69" s="10"/>
      <c r="Q69" s="135"/>
      <c r="U69" s="6"/>
    </row>
    <row r="70" spans="1:23" ht="20.149999999999999" customHeight="1" x14ac:dyDescent="0.35">
      <c r="A70" s="1">
        <f t="shared" si="3"/>
        <v>2045</v>
      </c>
      <c r="B70" s="13">
        <f t="shared" ref="B70:B101" si="5">B69+K69*E69-J69*B69</f>
        <v>2240.5213694386653</v>
      </c>
      <c r="C70" s="13">
        <f t="shared" si="1"/>
        <v>771.85897676637751</v>
      </c>
      <c r="D70" s="4">
        <f>(4/PARAMETERS!$B$6)*C70/B70</f>
        <v>45.933295544197804</v>
      </c>
      <c r="E70" s="10">
        <f>PARAMETERS!$B$4*B70</f>
        <v>168.0391027078999</v>
      </c>
      <c r="F70" s="4">
        <f t="shared" si="2"/>
        <v>1.8077707147732529E-2</v>
      </c>
      <c r="G70" s="28">
        <f>PARAMETERS!$B$7*E70^PARAMETERS!$B$8</f>
        <v>13.839743191550797</v>
      </c>
      <c r="H70" s="13">
        <f>H69+G69+PARAMETERS!$B$14</f>
        <v>974.59193441695072</v>
      </c>
      <c r="I70" s="4">
        <f>PARAMETERS!$B$9*H70</f>
        <v>2.1341429220809141</v>
      </c>
      <c r="J70" s="141">
        <f>MAX(1/D70,1/D70+PARAMETERS!$B$10*(I70-PARAMETERS!$B$11))</f>
        <v>3.1282843889906056E-2</v>
      </c>
      <c r="K70" s="4">
        <f>MAX(0,ADAPTATION!K69-PARAMETERS!$B$17*(PARAMETERS!$B$16-ADAPTATION!L69))</f>
        <v>0.65370039431682236</v>
      </c>
      <c r="L70" s="4">
        <f>PARAMETERS!$B$4/ADAPTATION!J70</f>
        <v>2.3974802375368447</v>
      </c>
      <c r="O70" s="10"/>
      <c r="Q70" s="135"/>
      <c r="U70" s="6"/>
    </row>
    <row r="71" spans="1:23" ht="20.149999999999999" customHeight="1" x14ac:dyDescent="0.35">
      <c r="A71" s="1">
        <f t="shared" si="3"/>
        <v>2046</v>
      </c>
      <c r="B71" s="13">
        <f t="shared" si="5"/>
        <v>2280.2787169073158</v>
      </c>
      <c r="C71" s="13">
        <f t="shared" ref="C71:C125" si="6">C70+(1-K70)*E70-J70*C70</f>
        <v>805.904907898273</v>
      </c>
      <c r="D71" s="4">
        <f>(4/PARAMETERS!$B$6)*C71/B71</f>
        <v>47.123181444024027</v>
      </c>
      <c r="E71" s="10">
        <f>PARAMETERS!$B$4*B71</f>
        <v>171.02090376804867</v>
      </c>
      <c r="F71" s="4">
        <f t="shared" ref="F71:F125" si="7">(E71-E70)/E70</f>
        <v>1.774468568385534E-2</v>
      </c>
      <c r="G71" s="28">
        <f>PARAMETERS!$B$7*E71^PARAMETERS!$B$8</f>
        <v>13.970182554085637</v>
      </c>
      <c r="H71" s="13">
        <f>H70+G70+PARAMETERS!$B$14</f>
        <v>989.93167760850156</v>
      </c>
      <c r="I71" s="4">
        <f>PARAMETERS!$B$9*H71</f>
        <v>2.1677336006025585</v>
      </c>
      <c r="J71" s="141">
        <f>MAX(1/D71,1/D71+PARAMETERS!$B$10*(I71-PARAMETERS!$B$11))</f>
        <v>3.1236982078778106E-2</v>
      </c>
      <c r="K71" s="4">
        <f>MAX(0,ADAPTATION!K70-PARAMETERS!$B$17*(PARAMETERS!$B$16-ADAPTATION!L70))</f>
        <v>0.64857440619366458</v>
      </c>
      <c r="L71" s="4">
        <f>PARAMETERS!$B$4/ADAPTATION!J71</f>
        <v>2.4010001930037208</v>
      </c>
      <c r="O71" s="10"/>
      <c r="Q71" s="135"/>
      <c r="U71" s="6"/>
    </row>
    <row r="72" spans="1:23" ht="20.149999999999999" customHeight="1" x14ac:dyDescent="0.35">
      <c r="A72" s="1">
        <f t="shared" si="3"/>
        <v>2047</v>
      </c>
      <c r="B72" s="13">
        <f t="shared" si="5"/>
        <v>2319.9694726007292</v>
      </c>
      <c r="C72" s="13">
        <f t="shared" si="6"/>
        <v>840.83199339303792</v>
      </c>
      <c r="D72" s="4">
        <f>(4/PARAMETERS!$B$6)*C72/B72</f>
        <v>48.324313650009628</v>
      </c>
      <c r="E72" s="10">
        <f>PARAMETERS!$B$4*B72</f>
        <v>173.99771044505468</v>
      </c>
      <c r="F72" s="4">
        <f t="shared" si="7"/>
        <v>1.7406098385746915E-2</v>
      </c>
      <c r="G72" s="28">
        <f>PARAMETERS!$B$7*E72^PARAMETERS!$B$8</f>
        <v>14.099348999699247</v>
      </c>
      <c r="H72" s="13">
        <f>H71+G71+PARAMETERS!$B$14</f>
        <v>1005.4018601625872</v>
      </c>
      <c r="I72" s="4">
        <f>PARAMETERS!$B$9*H72</f>
        <v>2.2016099127647899</v>
      </c>
      <c r="J72" s="141">
        <f>MAX(1/D72,1/D72+PARAMETERS!$B$10*(I72-PARAMETERS!$B$11))</f>
        <v>3.1217665566693947E-2</v>
      </c>
      <c r="K72" s="4">
        <f>MAX(0,ADAPTATION!K71-PARAMETERS!$B$17*(PARAMETERS!$B$16-ADAPTATION!L71))</f>
        <v>0.64362441584385066</v>
      </c>
      <c r="L72" s="4">
        <f>PARAMETERS!$B$4/ADAPTATION!J72</f>
        <v>2.4024858565983651</v>
      </c>
      <c r="O72" s="10"/>
      <c r="Q72" s="135"/>
      <c r="U72" s="6"/>
    </row>
    <row r="73" spans="1:23" ht="20.149999999999999" customHeight="1" x14ac:dyDescent="0.35">
      <c r="A73" s="1">
        <f t="shared" ref="A73:A125" si="8">A72+1</f>
        <v>2048</v>
      </c>
      <c r="B73" s="13">
        <f t="shared" si="5"/>
        <v>2359.534616223506</v>
      </c>
      <c r="C73" s="13">
        <f t="shared" si="6"/>
        <v>876.59171712720627</v>
      </c>
      <c r="D73" s="4">
        <f>(4/PARAMETERS!$B$6)*C73/B73</f>
        <v>49.534723844835312</v>
      </c>
      <c r="E73" s="10">
        <f>PARAMETERS!$B$4*B73</f>
        <v>176.96509621676293</v>
      </c>
      <c r="F73" s="4">
        <f t="shared" si="7"/>
        <v>1.7054165621594761E-2</v>
      </c>
      <c r="G73" s="28">
        <f>PARAMETERS!$B$7*E73^PARAMETERS!$B$8</f>
        <v>14.227084302810388</v>
      </c>
      <c r="H73" s="13">
        <f>H72+G72+PARAMETERS!$B$14</f>
        <v>1021.0012091622865</v>
      </c>
      <c r="I73" s="4">
        <f>PARAMETERS!$B$9*H73</f>
        <v>2.2357690711582916</v>
      </c>
      <c r="J73" s="141">
        <f>MAX(1/D73,1/D73+PARAMETERS!$B$10*(I73-PARAMETERS!$B$11))</f>
        <v>3.1224394651838128E-2</v>
      </c>
      <c r="K73" s="4">
        <f>MAX(0,ADAPTATION!K72-PARAMETERS!$B$17*(PARAMETERS!$B$16-ADAPTATION!L72))</f>
        <v>0.63874870867376887</v>
      </c>
      <c r="L73" s="4">
        <f>PARAMETERS!$B$4/ADAPTATION!J73</f>
        <v>2.4019681033459164</v>
      </c>
      <c r="O73" s="10"/>
      <c r="Q73" s="135"/>
    </row>
    <row r="74" spans="1:23" ht="20.149999999999999" customHeight="1" x14ac:dyDescent="0.35">
      <c r="A74" s="1">
        <f t="shared" si="8"/>
        <v>2049</v>
      </c>
      <c r="B74" s="13">
        <f t="shared" si="5"/>
        <v>2398.8958028606562</v>
      </c>
      <c r="C74" s="13">
        <f t="shared" si="6"/>
        <v>913.14954093107019</v>
      </c>
      <c r="D74" s="4">
        <f>(4/PARAMETERS!$B$6)*C74/B74</f>
        <v>50.753881005983381</v>
      </c>
      <c r="E74" s="10">
        <f>PARAMETERS!$B$4*B74</f>
        <v>179.91718521454922</v>
      </c>
      <c r="F74" s="4">
        <f t="shared" si="7"/>
        <v>1.668175849869459E-2</v>
      </c>
      <c r="G74" s="28">
        <f>PARAMETERS!$B$7*E74^PARAMETERS!$B$8</f>
        <v>14.353173073653442</v>
      </c>
      <c r="H74" s="13">
        <f>H73+G73+PARAMETERS!$B$14</f>
        <v>1036.7282934650968</v>
      </c>
      <c r="I74" s="4">
        <f>PARAMETERS!$B$9*H74</f>
        <v>2.2702079418943728</v>
      </c>
      <c r="J74" s="141">
        <f>MAX(1/D74,1/D74+PARAMETERS!$B$10*(I74-PARAMETERS!$B$11))</f>
        <v>3.1256045883555947E-2</v>
      </c>
      <c r="K74" s="4">
        <f>MAX(0,ADAPTATION!K73-PARAMETERS!$B$17*(PARAMETERS!$B$16-ADAPTATION!L73))</f>
        <v>0.63384711384106474</v>
      </c>
      <c r="L74" s="4">
        <f>PARAMETERS!$B$4/ADAPTATION!J74</f>
        <v>2.3995357659574621</v>
      </c>
      <c r="O74" s="10"/>
      <c r="Q74" s="135"/>
      <c r="V74" s="6"/>
    </row>
    <row r="75" spans="1:23" s="6" customFormat="1" ht="20.149999999999999" customHeight="1" x14ac:dyDescent="0.35">
      <c r="A75" s="1">
        <f t="shared" si="8"/>
        <v>2050</v>
      </c>
      <c r="B75" s="13">
        <f t="shared" si="5"/>
        <v>2437.9557941552243</v>
      </c>
      <c r="C75" s="13">
        <f t="shared" si="6"/>
        <v>950.48529361707961</v>
      </c>
      <c r="D75" s="4">
        <f>(4/PARAMETERS!$B$6)*C75/B75</f>
        <v>51.98263757944428</v>
      </c>
      <c r="E75" s="10">
        <f>PARAMETERS!$B$4*B75</f>
        <v>182.84668456164181</v>
      </c>
      <c r="F75" s="4">
        <f t="shared" si="7"/>
        <v>1.6282487654523899E-2</v>
      </c>
      <c r="G75" s="28">
        <f>PARAMETERS!$B$7*E75^PARAMETERS!$B$8</f>
        <v>14.477346117268864</v>
      </c>
      <c r="H75" s="13">
        <f>H74+G74+PARAMETERS!$B$14</f>
        <v>1052.5814665387502</v>
      </c>
      <c r="I75" s="4">
        <f>PARAMETERS!$B$9*H75</f>
        <v>2.3049229194279204</v>
      </c>
      <c r="J75" s="141">
        <f>MAX(1/D75,1/D75+PARAMETERS!$B$10*(I75-PARAMETERS!$B$11))</f>
        <v>3.1311036180352803E-2</v>
      </c>
      <c r="K75" s="4">
        <f>MAX(0,ADAPTATION!K74-PARAMETERS!$B$17*(PARAMETERS!$B$16-ADAPTATION!L74))</f>
        <v>0.6288239021389378</v>
      </c>
      <c r="L75" s="4">
        <f>PARAMETERS!$B$4/ADAPTATION!J75</f>
        <v>2.3953215590821411</v>
      </c>
      <c r="M75" s="53"/>
      <c r="O75" s="10"/>
      <c r="P75" s="1"/>
      <c r="Q75" s="135"/>
      <c r="R75" s="1"/>
      <c r="S75" s="1"/>
      <c r="T75" s="1"/>
      <c r="W75" s="1"/>
    </row>
    <row r="76" spans="1:23" s="6" customFormat="1" ht="20.149999999999999" customHeight="1" x14ac:dyDescent="0.35">
      <c r="A76" s="1">
        <f t="shared" si="8"/>
        <v>2051</v>
      </c>
      <c r="B76" s="13">
        <f t="shared" si="5"/>
        <v>2476.5992377575485</v>
      </c>
      <c r="C76" s="13">
        <f t="shared" si="6"/>
        <v>988.59293308216468</v>
      </c>
      <c r="D76" s="4">
        <f>(4/PARAMETERS!$B$6)*C76/B76</f>
        <v>53.223141260825173</v>
      </c>
      <c r="E76" s="10">
        <f>PARAMETERS!$B$4*B76</f>
        <v>185.74494283181613</v>
      </c>
      <c r="F76" s="4">
        <f t="shared" si="7"/>
        <v>1.5850756480067622E-2</v>
      </c>
      <c r="G76" s="28">
        <f>PARAMETERS!$B$7*E76^PARAMETERS!$B$8</f>
        <v>14.599284612540863</v>
      </c>
      <c r="H76" s="13">
        <f>H75+G75+PARAMETERS!$B$14</f>
        <v>1068.558812656019</v>
      </c>
      <c r="I76" s="4">
        <f>PARAMETERS!$B$9*H76</f>
        <v>2.3399098087358081</v>
      </c>
      <c r="J76" s="141">
        <f>MAX(1/D76,1/D76+PARAMETERS!$B$10*(I76-PARAMETERS!$B$11))</f>
        <v>3.1387466736768448E-2</v>
      </c>
      <c r="K76" s="4">
        <f>MAX(0,ADAPTATION!K75-PARAMETERS!$B$17*(PARAMETERS!$B$16-ADAPTATION!L75))</f>
        <v>0.62358998009304489</v>
      </c>
      <c r="L76" s="4">
        <f>PARAMETERS!$B$4/ADAPTATION!J76</f>
        <v>2.389488792739753</v>
      </c>
      <c r="M76" s="53"/>
      <c r="O76" s="10"/>
      <c r="P76" s="1"/>
      <c r="Q76" s="135"/>
      <c r="R76" s="1"/>
      <c r="S76" s="1"/>
      <c r="T76" s="1"/>
      <c r="U76" s="1"/>
      <c r="W76" s="1"/>
    </row>
    <row r="77" spans="1:23" s="6" customFormat="1" ht="20.149999999999999" customHeight="1" x14ac:dyDescent="0.35">
      <c r="A77" s="1">
        <f t="shared" si="8"/>
        <v>2052</v>
      </c>
      <c r="B77" s="13">
        <f t="shared" si="5"/>
        <v>2514.6937467650032</v>
      </c>
      <c r="C77" s="13">
        <f t="shared" si="6"/>
        <v>1027.4797629077839</v>
      </c>
      <c r="D77" s="4">
        <f>(4/PARAMETERS!$B$6)*C77/B77</f>
        <v>54.478722069944439</v>
      </c>
      <c r="E77" s="10">
        <f>PARAMETERS!$B$4*B77</f>
        <v>188.60203100737525</v>
      </c>
      <c r="F77" s="4">
        <f t="shared" si="7"/>
        <v>1.5381781770209919E-2</v>
      </c>
      <c r="G77" s="28">
        <f>PARAMETERS!$B$7*E77^PARAMETERS!$B$8</f>
        <v>14.718624899898897</v>
      </c>
      <c r="H77" s="13">
        <f>H76+G76+PARAMETERS!$B$14</f>
        <v>1084.6580972685599</v>
      </c>
      <c r="I77" s="4">
        <f>PARAMETERS!$B$9*H77</f>
        <v>2.3751637166464818</v>
      </c>
      <c r="J77" s="141">
        <f>MAX(1/D77,1/D77+PARAMETERS!$B$10*(I77-PARAMETERS!$B$11))</f>
        <v>3.1483246084061431E-2</v>
      </c>
      <c r="K77" s="4">
        <f>MAX(0,ADAPTATION!K76-PARAMETERS!$B$17*(PARAMETERS!$B$16-ADAPTATION!L76))</f>
        <v>0.61806441973003257</v>
      </c>
      <c r="L77" s="4">
        <f>PARAMETERS!$B$4/ADAPTATION!J77</f>
        <v>2.3822194128187171</v>
      </c>
      <c r="M77" s="53"/>
      <c r="O77" s="10"/>
      <c r="P77" s="1"/>
      <c r="Q77" s="135"/>
      <c r="R77" s="1"/>
      <c r="S77" s="1"/>
      <c r="T77" s="1"/>
      <c r="U77" s="1"/>
      <c r="V77" s="1"/>
      <c r="W77" s="1"/>
    </row>
    <row r="78" spans="1:23" ht="20.149999999999999" customHeight="1" x14ac:dyDescent="0.35">
      <c r="A78" s="1">
        <f t="shared" si="8"/>
        <v>2053</v>
      </c>
      <c r="B78" s="13">
        <f t="shared" si="5"/>
        <v>2552.0912295640292</v>
      </c>
      <c r="C78" s="13">
        <f t="shared" si="6"/>
        <v>1067.1651908386611</v>
      </c>
      <c r="D78" s="4">
        <f>(4/PARAMETERS!$B$6)*C78/B78</f>
        <v>55.753763996958881</v>
      </c>
      <c r="E78" s="10">
        <f>PARAMETERS!$B$4*B78</f>
        <v>191.40684221730217</v>
      </c>
      <c r="F78" s="4">
        <f t="shared" si="7"/>
        <v>1.4871585395690903E-2</v>
      </c>
      <c r="G78" s="28">
        <f>PARAMETERS!$B$7*E78^PARAMETERS!$B$8</f>
        <v>14.834963676175265</v>
      </c>
      <c r="H78" s="13">
        <f>H77+G77+PARAMETERS!$B$14</f>
        <v>1100.8767221684589</v>
      </c>
      <c r="I78" s="4">
        <f>PARAMETERS!$B$9*H78</f>
        <v>2.4106789536535596</v>
      </c>
      <c r="J78" s="141">
        <f>MAX(1/D78,1/D78+PARAMETERS!$B$10*(I78-PARAMETERS!$B$11))</f>
        <v>3.1596193074624662E-2</v>
      </c>
      <c r="K78" s="4">
        <f>MAX(0,ADAPTATION!K77-PARAMETERS!$B$17*(PARAMETERS!$B$16-ADAPTATION!L77))</f>
        <v>0.61217539037096846</v>
      </c>
      <c r="L78" s="4">
        <f>PARAMETERS!$B$4/ADAPTATION!J78</f>
        <v>2.3737036871139243</v>
      </c>
      <c r="O78" s="10"/>
      <c r="Q78" s="135"/>
    </row>
    <row r="79" spans="1:23" ht="20.149999999999999" customHeight="1" x14ac:dyDescent="0.35">
      <c r="A79" s="1">
        <f t="shared" si="8"/>
        <v>2054</v>
      </c>
      <c r="B79" s="13">
        <f t="shared" si="5"/>
        <v>2588.6294206847192</v>
      </c>
      <c r="C79" s="13">
        <f t="shared" si="6"/>
        <v>1107.6791172896549</v>
      </c>
      <c r="D79" s="4">
        <f>(4/PARAMETERS!$B$6)*C79/B79</f>
        <v>57.053569658065747</v>
      </c>
      <c r="E79" s="10">
        <f>PARAMETERS!$B$4*B79</f>
        <v>194.14720655135395</v>
      </c>
      <c r="F79" s="4">
        <f t="shared" si="7"/>
        <v>1.4316961203198104E-2</v>
      </c>
      <c r="G79" s="28">
        <f>PARAMETERS!$B$7*E79^PARAMETERS!$B$8</f>
        <v>14.94786341040135</v>
      </c>
      <c r="H79" s="13">
        <f>H78+G78+PARAMETERS!$B$14</f>
        <v>1117.2116858446341</v>
      </c>
      <c r="I79" s="4">
        <f>PARAMETERS!$B$9*H79</f>
        <v>2.4464489471050381</v>
      </c>
      <c r="J79" s="141">
        <f>MAX(1/D79,1/D79+PARAMETERS!$B$10*(I79-PARAMETERS!$B$11))</f>
        <v>3.1724121291962407E-2</v>
      </c>
      <c r="K79" s="4">
        <f>MAX(0,ADAPTATION!K78-PARAMETERS!$B$17*(PARAMETERS!$B$16-ADAPTATION!L78))</f>
        <v>0.60586057472666466</v>
      </c>
      <c r="L79" s="4">
        <f>PARAMETERS!$B$4/ADAPTATION!J79</f>
        <v>2.3641316747519157</v>
      </c>
      <c r="O79" s="10"/>
      <c r="Q79" s="135"/>
    </row>
    <row r="80" spans="1:23" ht="20.149999999999999" customHeight="1" x14ac:dyDescent="0.35">
      <c r="A80" s="1">
        <f t="shared" si="8"/>
        <v>2055</v>
      </c>
      <c r="B80" s="13">
        <f t="shared" si="5"/>
        <v>2624.1335651057548</v>
      </c>
      <c r="C80" s="13">
        <f t="shared" si="6"/>
        <v>1149.0600390287582</v>
      </c>
      <c r="D80" s="4">
        <f>(4/PARAMETERS!$B$6)*C80/B80</f>
        <v>58.384225270050244</v>
      </c>
      <c r="E80" s="10">
        <f>PARAMETERS!$B$4*B80</f>
        <v>196.81001738293159</v>
      </c>
      <c r="F80" s="4">
        <f t="shared" si="7"/>
        <v>1.3715421812537402E-2</v>
      </c>
      <c r="G80" s="28">
        <f>PARAMETERS!$B$7*E80^PARAMETERS!$B$8</f>
        <v>15.056857814699114</v>
      </c>
      <c r="H80" s="13">
        <f>H79+G79+PARAMETERS!$B$14</f>
        <v>1133.6595492550355</v>
      </c>
      <c r="I80" s="4">
        <f>PARAMETERS!$B$9*H80</f>
        <v>2.4824661662519025</v>
      </c>
      <c r="J80" s="141">
        <f>MAX(1/D80,1/D80+PARAMETERS!$B$10*(I80-PARAMETERS!$B$11))</f>
        <v>3.1864906675641923E-2</v>
      </c>
      <c r="K80" s="4">
        <f>MAX(0,ADAPTATION!K79-PARAMETERS!$B$17*(PARAMETERS!$B$16-ADAPTATION!L79))</f>
        <v>0.5990671584642604</v>
      </c>
      <c r="L80" s="4">
        <f>PARAMETERS!$B$4/ADAPTATION!J80</f>
        <v>2.3536864790924139</v>
      </c>
      <c r="O80" s="10"/>
      <c r="Q80" s="135"/>
    </row>
    <row r="81" spans="1:20" ht="20.149999999999999" customHeight="1" x14ac:dyDescent="0.35">
      <c r="A81" s="1">
        <f t="shared" si="8"/>
        <v>2056</v>
      </c>
      <c r="B81" s="13">
        <f t="shared" si="5"/>
        <v>2658.4182118201352</v>
      </c>
      <c r="C81" s="13">
        <f t="shared" si="6"/>
        <v>1191.3529476324343</v>
      </c>
      <c r="D81" s="4">
        <f>(4/PARAMETERS!$B$6)*C81/B81</f>
        <v>59.752471969249335</v>
      </c>
      <c r="E81" s="10">
        <f>PARAMETERS!$B$4*B81</f>
        <v>199.38136588651014</v>
      </c>
      <c r="F81" s="4">
        <f t="shared" si="7"/>
        <v>1.3065130209177803E-2</v>
      </c>
      <c r="G81" s="28">
        <f>PARAMETERS!$B$7*E81^PARAMETERS!$B$8</f>
        <v>15.161457228862298</v>
      </c>
      <c r="H81" s="13">
        <f>H80+G80+PARAMETERS!$B$14</f>
        <v>1150.2164070697345</v>
      </c>
      <c r="I81" s="4">
        <f>PARAMETERS!$B$9*H81</f>
        <v>2.5187220592767909</v>
      </c>
      <c r="J81" s="141">
        <f>MAX(1/D81,1/D81+PARAMETERS!$B$10*(I81-PARAMETERS!$B$11))</f>
        <v>3.2016540175198373E-2</v>
      </c>
      <c r="K81" s="4">
        <f>MAX(0,ADAPTATION!K80-PARAMETERS!$B$17*(PARAMETERS!$B$16-ADAPTATION!L80))</f>
        <v>0.59175148241888109</v>
      </c>
      <c r="L81" s="4">
        <f>PARAMETERS!$B$4/ADAPTATION!J81</f>
        <v>2.3425391872323162</v>
      </c>
      <c r="O81" s="10"/>
      <c r="Q81" s="135"/>
    </row>
    <row r="82" spans="1:20" ht="20.149999999999999" customHeight="1" x14ac:dyDescent="0.35">
      <c r="A82" s="1">
        <f t="shared" si="8"/>
        <v>2057</v>
      </c>
      <c r="B82" s="13">
        <f t="shared" si="5"/>
        <v>2691.2890771689604</v>
      </c>
      <c r="C82" s="13">
        <f t="shared" si="6"/>
        <v>1234.6070951781858</v>
      </c>
      <c r="D82" s="4">
        <f>(4/PARAMETERS!$B$6)*C82/B82</f>
        <v>61.165588176151495</v>
      </c>
      <c r="E82" s="10">
        <f>PARAMETERS!$B$4*B82</f>
        <v>201.84668078767203</v>
      </c>
      <c r="F82" s="4">
        <f t="shared" si="7"/>
        <v>1.2364821006217658E-2</v>
      </c>
      <c r="G82" s="28">
        <f>PARAMETERS!$B$7*E82^PARAMETERS!$B$8</f>
        <v>15.261153804359278</v>
      </c>
      <c r="H82" s="13">
        <f>H81+G81+PARAMETERS!$B$14</f>
        <v>1166.8778642985967</v>
      </c>
      <c r="I82" s="4">
        <f>PARAMETERS!$B$9*H82</f>
        <v>2.5552070021137157</v>
      </c>
      <c r="J82" s="141">
        <f>MAX(1/D82,1/D82+PARAMETERS!$B$10*(I82-PARAMETERS!$B$11))</f>
        <v>3.2177167140290189E-2</v>
      </c>
      <c r="K82" s="4">
        <f>MAX(0,ADAPTATION!K81-PARAMETERS!$B$17*(PARAMETERS!$B$16-ADAPTATION!L81))</f>
        <v>0.58387844178049686</v>
      </c>
      <c r="L82" s="4">
        <f>PARAMETERS!$B$4/ADAPTATION!J82</f>
        <v>2.330845337409762</v>
      </c>
      <c r="O82" s="10"/>
      <c r="Q82" s="135"/>
    </row>
    <row r="83" spans="1:20" ht="20.149999999999999" customHeight="1" x14ac:dyDescent="0.35">
      <c r="A83" s="1">
        <f t="shared" si="8"/>
        <v>2058</v>
      </c>
      <c r="B83" s="13">
        <f t="shared" si="5"/>
        <v>2722.5449441669289</v>
      </c>
      <c r="C83" s="13">
        <f t="shared" si="6"/>
        <v>1278.8736916548498</v>
      </c>
      <c r="D83" s="4">
        <f>(4/PARAMETERS!$B$6)*C83/B83</f>
        <v>62.631286431461632</v>
      </c>
      <c r="E83" s="10">
        <f>PARAMETERS!$B$4*B83</f>
        <v>204.19087081251965</v>
      </c>
      <c r="F83" s="4">
        <f t="shared" si="7"/>
        <v>1.1613715993247058E-2</v>
      </c>
      <c r="G83" s="28">
        <f>PARAMETERS!$B$7*E83^PARAMETERS!$B$8</f>
        <v>15.355426401865458</v>
      </c>
      <c r="H83" s="13">
        <f>H82+G82+PARAMETERS!$B$14</f>
        <v>1183.639018102956</v>
      </c>
      <c r="I83" s="4">
        <f>PARAMETERS!$B$9*H83</f>
        <v>2.5919102586196119</v>
      </c>
      <c r="J83" s="141">
        <f>MAX(1/D83,1/D83+PARAMETERS!$B$10*(I83-PARAMETERS!$B$11))</f>
        <v>3.234511500402798E-2</v>
      </c>
      <c r="K83" s="4">
        <f>MAX(0,ADAPTATION!K82-PARAMETERS!$B$17*(PARAMETERS!$B$16-ADAPTATION!L82))</f>
        <v>0.57542070865098494</v>
      </c>
      <c r="L83" s="4">
        <f>PARAMETERS!$B$4/ADAPTATION!J83</f>
        <v>2.3187427217575252</v>
      </c>
      <c r="O83" s="10"/>
      <c r="Q83" s="135"/>
    </row>
    <row r="84" spans="1:20" ht="20.149999999999999" customHeight="1" x14ac:dyDescent="0.35">
      <c r="A84" s="1">
        <f t="shared" si="8"/>
        <v>2059</v>
      </c>
      <c r="B84" s="13">
        <f t="shared" si="5"/>
        <v>2751.9795704272165</v>
      </c>
      <c r="C84" s="13">
        <f t="shared" si="6"/>
        <v>1324.2035902521657</v>
      </c>
      <c r="D84" s="4">
        <f>(4/PARAMETERS!$B$6)*C84/B84</f>
        <v>64.157626967005271</v>
      </c>
      <c r="E84" s="10">
        <f>PARAMETERS!$B$4*B84</f>
        <v>206.39846778204122</v>
      </c>
      <c r="F84" s="4">
        <f t="shared" si="7"/>
        <v>1.0811438144795939E-2</v>
      </c>
      <c r="G84" s="28">
        <f>PARAMETERS!$B$7*E84^PARAMETERS!$B$8</f>
        <v>15.443745144647108</v>
      </c>
      <c r="H84" s="13">
        <f>H83+G83+PARAMETERS!$B$14</f>
        <v>1200.4944445048216</v>
      </c>
      <c r="I84" s="4">
        <f>PARAMETERS!$B$9*H84</f>
        <v>2.6288199514704123</v>
      </c>
      <c r="J84" s="141">
        <f>MAX(1/D84,1/D84+PARAMETERS!$B$10*(I84-PARAMETERS!$B$11))</f>
        <v>3.2518910673912993E-2</v>
      </c>
      <c r="K84" s="4">
        <f>MAX(0,ADAPTATION!K83-PARAMETERS!$B$17*(PARAMETERS!$B$16-ADAPTATION!L83))</f>
        <v>0.56635784473886119</v>
      </c>
      <c r="L84" s="4">
        <f>PARAMETERS!$B$4/ADAPTATION!J84</f>
        <v>2.3063503188059058</v>
      </c>
      <c r="O84" s="10"/>
      <c r="Q84" s="135"/>
    </row>
    <row r="85" spans="1:20" ht="20.149999999999999" customHeight="1" x14ac:dyDescent="0.35">
      <c r="A85" s="1">
        <f t="shared" si="8"/>
        <v>2060</v>
      </c>
      <c r="B85" s="13">
        <f t="shared" si="5"/>
        <v>2779.3835839705002</v>
      </c>
      <c r="C85" s="13">
        <f t="shared" si="6"/>
        <v>1370.6450083982818</v>
      </c>
      <c r="D85" s="4">
        <f>(4/PARAMETERS!$B$6)*C85/B85</f>
        <v>65.752949265594168</v>
      </c>
      <c r="E85" s="10">
        <f>PARAMETERS!$B$4*B85</f>
        <v>208.45376879778752</v>
      </c>
      <c r="F85" s="4">
        <f t="shared" si="7"/>
        <v>9.9579276815015549E-3</v>
      </c>
      <c r="G85" s="28">
        <f>PARAMETERS!$B$7*E85^PARAMETERS!$B$8</f>
        <v>15.525575596921934</v>
      </c>
      <c r="H85" s="13">
        <f>H84+G84+PARAMETERS!$B$14</f>
        <v>1217.4381896494688</v>
      </c>
      <c r="I85" s="4">
        <f>PARAMETERS!$B$9*H85</f>
        <v>2.6659230430280338</v>
      </c>
      <c r="J85" s="141">
        <f>MAX(1/D85,1/D85+PARAMETERS!$B$10*(I85-PARAMETERS!$B$11))</f>
        <v>3.2697288934568289E-2</v>
      </c>
      <c r="K85" s="4">
        <f>MAX(0,ADAPTATION!K84-PARAMETERS!$B$17*(PARAMETERS!$B$16-ADAPTATION!L84))</f>
        <v>0.55667536067915646</v>
      </c>
      <c r="L85" s="4">
        <f>PARAMETERS!$B$4/ADAPTATION!J85</f>
        <v>2.2937681515456885</v>
      </c>
      <c r="O85" s="10"/>
      <c r="Q85" s="135"/>
    </row>
    <row r="86" spans="1:20" ht="20.149999999999999" customHeight="1" x14ac:dyDescent="0.35">
      <c r="A86" s="1">
        <f t="shared" si="8"/>
        <v>2061</v>
      </c>
      <c r="B86" s="13">
        <f t="shared" si="5"/>
        <v>2804.5463527958591</v>
      </c>
      <c r="C86" s="13">
        <f t="shared" si="6"/>
        <v>1418.241324399309</v>
      </c>
      <c r="D86" s="4">
        <f>(4/PARAMETERS!$B$6)*C86/B86</f>
        <v>67.425822028125197</v>
      </c>
      <c r="E86" s="10">
        <f>PARAMETERS!$B$4*B86</f>
        <v>210.34097645968941</v>
      </c>
      <c r="F86" s="4">
        <f t="shared" si="7"/>
        <v>9.0533631163685034E-3</v>
      </c>
      <c r="G86" s="28">
        <f>PARAMETERS!$B$7*E86^PARAMETERS!$B$8</f>
        <v>15.600382560666818</v>
      </c>
      <c r="H86" s="13">
        <f>H85+G85+PARAMETERS!$B$14</f>
        <v>1234.4637652463907</v>
      </c>
      <c r="I86" s="4">
        <f>PARAMETERS!$B$9*H86</f>
        <v>2.70320532535706</v>
      </c>
      <c r="J86" s="141">
        <f>MAX(1/D86,1/D86+PARAMETERS!$B$10*(I86-PARAMETERS!$B$11))</f>
        <v>3.2879193093671599E-2</v>
      </c>
      <c r="K86" s="4">
        <f>MAX(0,ADAPTATION!K85-PARAMETERS!$B$17*(PARAMETERS!$B$16-ADAPTATION!L85))</f>
        <v>0.54636376825644084</v>
      </c>
      <c r="L86" s="4">
        <f>PARAMETERS!$B$4/ADAPTATION!J86</f>
        <v>2.2810778776208949</v>
      </c>
      <c r="O86" s="10"/>
      <c r="Q86" s="135"/>
    </row>
    <row r="87" spans="1:20" ht="20.149999999999999" customHeight="1" x14ac:dyDescent="0.35">
      <c r="A87" s="1">
        <f t="shared" si="8"/>
        <v>2062</v>
      </c>
      <c r="B87" s="13">
        <f t="shared" si="5"/>
        <v>2827.257820239387</v>
      </c>
      <c r="C87" s="13">
        <f t="shared" si="6"/>
        <v>1467.0289819833938</v>
      </c>
      <c r="D87" s="4">
        <f>(4/PARAMETERS!$B$6)*C87/B87</f>
        <v>69.185011308197744</v>
      </c>
      <c r="E87" s="10">
        <f>PARAMETERS!$B$4*B87</f>
        <v>212.04433651795401</v>
      </c>
      <c r="F87" s="4">
        <f t="shared" si="7"/>
        <v>8.0980895255615207E-3</v>
      </c>
      <c r="G87" s="28">
        <f>PARAMETERS!$B$7*E87^PARAMETERS!$B$8</f>
        <v>15.66763350540746</v>
      </c>
      <c r="H87" s="13">
        <f>H86+G86+PARAMETERS!$B$14</f>
        <v>1251.5641478070575</v>
      </c>
      <c r="I87" s="4">
        <f>PARAMETERS!$B$9*H87</f>
        <v>2.7406514185556006</v>
      </c>
      <c r="J87" s="141">
        <f>MAX(1/D87,1/D87+PARAMETERS!$B$10*(I87-PARAMETERS!$B$11))</f>
        <v>3.306376906038698E-2</v>
      </c>
      <c r="K87" s="4">
        <f>MAX(0,ADAPTATION!K86-PARAMETERS!$B$17*(PARAMETERS!$B$16-ADAPTATION!L86))</f>
        <v>0.53541766213748554</v>
      </c>
      <c r="L87" s="4">
        <f>PARAMETERS!$B$4/ADAPTATION!J87</f>
        <v>2.2683439345049123</v>
      </c>
      <c r="O87" s="10"/>
      <c r="Q87" s="135"/>
    </row>
    <row r="88" spans="1:20" ht="20.149999999999999" customHeight="1" x14ac:dyDescent="0.35">
      <c r="A88" s="1">
        <f t="shared" si="8"/>
        <v>2063</v>
      </c>
      <c r="B88" s="13">
        <f t="shared" si="5"/>
        <v>2847.3103035247559</v>
      </c>
      <c r="C88" s="13">
        <f t="shared" si="6"/>
        <v>1517.035528108217</v>
      </c>
      <c r="D88" s="4">
        <f>(4/PARAMETERS!$B$6)*C88/B88</f>
        <v>71.039466087474025</v>
      </c>
      <c r="E88" s="10">
        <f>PARAMETERS!$B$4*B88</f>
        <v>213.54827276435668</v>
      </c>
      <c r="F88" s="4">
        <f t="shared" si="7"/>
        <v>7.0925555999244239E-3</v>
      </c>
      <c r="G88" s="28">
        <f>PARAMETERS!$B$7*E88^PARAMETERS!$B$8</f>
        <v>15.726801662729461</v>
      </c>
      <c r="H88" s="13">
        <f>H87+G87+PARAMETERS!$B$14</f>
        <v>1268.7317813124648</v>
      </c>
      <c r="I88" s="4">
        <f>PARAMETERS!$B$9*H88</f>
        <v>2.7782447765966385</v>
      </c>
      <c r="J88" s="141">
        <f>MAX(1/D88,1/D88+PARAMETERS!$B$10*(I88-PARAMETERS!$B$11))</f>
        <v>3.3250354021092637E-2</v>
      </c>
      <c r="K88" s="4">
        <f>MAX(0,ADAPTATION!K87-PARAMETERS!$B$17*(PARAMETERS!$B$16-ADAPTATION!L87))</f>
        <v>0.52383485886273118</v>
      </c>
      <c r="L88" s="4">
        <f>PARAMETERS!$B$4/ADAPTATION!J88</f>
        <v>2.2556150816446383</v>
      </c>
      <c r="O88" s="10"/>
      <c r="Q88" s="135"/>
    </row>
    <row r="89" spans="1:20" ht="20.149999999999999" customHeight="1" x14ac:dyDescent="0.35">
      <c r="A89" s="1">
        <f t="shared" si="8"/>
        <v>2064</v>
      </c>
      <c r="B89" s="13">
        <f t="shared" si="5"/>
        <v>2864.50025724855</v>
      </c>
      <c r="C89" s="13">
        <f t="shared" si="6"/>
        <v>1568.2778031765033</v>
      </c>
      <c r="D89" s="4">
        <f>(4/PARAMETERS!$B$6)*C89/B89</f>
        <v>72.998320234417321</v>
      </c>
      <c r="E89" s="10">
        <f>PARAMETERS!$B$4*B89</f>
        <v>214.83751929364124</v>
      </c>
      <c r="F89" s="4">
        <f t="shared" si="7"/>
        <v>6.0372603936122409E-3</v>
      </c>
      <c r="G89" s="28">
        <f>PARAMETERS!$B$7*E89^PARAMETERS!$B$8</f>
        <v>15.777368830256913</v>
      </c>
      <c r="H89" s="13">
        <f>H88+G88+PARAMETERS!$B$14</f>
        <v>1285.9585829751943</v>
      </c>
      <c r="I89" s="4">
        <f>PARAMETERS!$B$9*H89</f>
        <v>2.8159676999456811</v>
      </c>
      <c r="J89" s="141">
        <f>MAX(1/D89,1/D89+PARAMETERS!$B$10*(I89-PARAMETERS!$B$11))</f>
        <v>3.3438460855581498E-2</v>
      </c>
      <c r="K89" s="4">
        <f>MAX(0,ADAPTATION!K88-PARAMETERS!$B$17*(PARAMETERS!$B$16-ADAPTATION!L88))</f>
        <v>0.51161561294496305</v>
      </c>
      <c r="L89" s="4">
        <f>PARAMETERS!$B$4/ADAPTATION!J89</f>
        <v>2.2429262017746581</v>
      </c>
      <c r="O89" s="10"/>
      <c r="Q89" s="135"/>
      <c r="S89" s="6"/>
    </row>
    <row r="90" spans="1:20" ht="20.149999999999999" customHeight="1" x14ac:dyDescent="0.35">
      <c r="A90" s="1">
        <f t="shared" si="8"/>
        <v>2065</v>
      </c>
      <c r="B90" s="13">
        <f t="shared" si="5"/>
        <v>2878.630006642733</v>
      </c>
      <c r="C90" s="13">
        <f t="shared" si="6"/>
        <v>1620.7602974209583</v>
      </c>
      <c r="D90" s="4">
        <f>(4/PARAMETERS!$B$6)*C90/B90</f>
        <v>75.070909596156895</v>
      </c>
      <c r="E90" s="10">
        <f>PARAMETERS!$B$4*B90</f>
        <v>215.89725049820495</v>
      </c>
      <c r="F90" s="4">
        <f t="shared" si="7"/>
        <v>4.9327101152907612E-3</v>
      </c>
      <c r="G90" s="28">
        <f>PARAMETERS!$B$7*E90^PARAMETERS!$B$8</f>
        <v>15.818827938555012</v>
      </c>
      <c r="H90" s="13">
        <f>H89+G89+PARAMETERS!$B$14</f>
        <v>1303.2359518054511</v>
      </c>
      <c r="I90" s="4">
        <f>PARAMETERS!$B$9*H90</f>
        <v>2.8538013543185063</v>
      </c>
      <c r="J90" s="141">
        <f>MAX(1/D90,1/D90+PARAMETERS!$B$10*(I90-PARAMETERS!$B$11))</f>
        <v>3.3627759405052221E-2</v>
      </c>
      <c r="K90" s="4">
        <f>MAX(0,ADAPTATION!K89-PARAMETERS!$B$17*(PARAMETERS!$B$16-ADAPTATION!L89))</f>
        <v>0.49876192303369593</v>
      </c>
      <c r="L90" s="4">
        <f>PARAMETERS!$B$4/ADAPTATION!J90</f>
        <v>2.2303002438138066</v>
      </c>
      <c r="O90" s="10"/>
      <c r="Q90" s="135"/>
      <c r="T90" s="6"/>
    </row>
    <row r="91" spans="1:20" ht="20.149999999999999" customHeight="1" x14ac:dyDescent="0.35">
      <c r="A91" s="1">
        <f t="shared" si="8"/>
        <v>2066</v>
      </c>
      <c r="B91" s="13">
        <f t="shared" si="5"/>
        <v>2889.5094571993595</v>
      </c>
      <c r="C91" s="13">
        <f t="shared" si="6"/>
        <v>1674.4736827480581</v>
      </c>
      <c r="D91" s="4">
        <f>(4/PARAMETERS!$B$6)*C91/B91</f>
        <v>77.266802897450162</v>
      </c>
      <c r="E91" s="10">
        <f>PARAMETERS!$B$4*B91</f>
        <v>216.71320928995195</v>
      </c>
      <c r="F91" s="4">
        <f t="shared" si="7"/>
        <v>3.7793848224749746E-3</v>
      </c>
      <c r="G91" s="28">
        <f>PARAMETERS!$B$7*E91^PARAMETERS!$B$8</f>
        <v>15.850685438946361</v>
      </c>
      <c r="H91" s="13">
        <f>H90+G90+PARAMETERS!$B$14</f>
        <v>1320.5547797440061</v>
      </c>
      <c r="I91" s="4">
        <f>PARAMETERS!$B$9*H91</f>
        <v>2.8917257950598674</v>
      </c>
      <c r="J91" s="141">
        <f>MAX(1/D91,1/D91+PARAMETERS!$B$10*(I91-PARAMETERS!$B$11))</f>
        <v>3.3818055651673E-2</v>
      </c>
      <c r="K91" s="4">
        <f>MAX(0,ADAPTATION!K90-PARAMETERS!$B$17*(PARAMETERS!$B$16-ADAPTATION!L90))</f>
        <v>0.48527693522438625</v>
      </c>
      <c r="L91" s="4">
        <f>PARAMETERS!$B$4/ADAPTATION!J91</f>
        <v>2.2177502093113297</v>
      </c>
      <c r="O91" s="10"/>
      <c r="Q91" s="135"/>
    </row>
    <row r="92" spans="1:20" ht="20.149999999999999" customHeight="1" x14ac:dyDescent="0.35">
      <c r="A92" s="1">
        <f t="shared" si="8"/>
        <v>2067</v>
      </c>
      <c r="B92" s="13">
        <f t="shared" si="5"/>
        <v>2896.9577875966252</v>
      </c>
      <c r="C92" s="13">
        <f t="shared" si="6"/>
        <v>1729.3935258207055</v>
      </c>
      <c r="D92" s="4">
        <f>(4/PARAMETERS!$B$6)*C92/B92</f>
        <v>79.595845141416234</v>
      </c>
      <c r="E92" s="10">
        <f>PARAMETERS!$B$4*B92</f>
        <v>217.27183406974689</v>
      </c>
      <c r="F92" s="4">
        <f t="shared" si="7"/>
        <v>2.5777144901560959E-3</v>
      </c>
      <c r="G92" s="28">
        <f>PARAMETERS!$B$7*E92^PARAMETERS!$B$8</f>
        <v>15.872463570894562</v>
      </c>
      <c r="H92" s="13">
        <f>H91+G91+PARAMETERS!$B$14</f>
        <v>1337.9054651829524</v>
      </c>
      <c r="I92" s="4">
        <f>PARAMETERS!$B$9*H92</f>
        <v>2.929719996750991</v>
      </c>
      <c r="J92" s="141">
        <f>MAX(1/D92,1/D92+PARAMETERS!$B$10*(I92-PARAMETERS!$B$11))</f>
        <v>3.40092697934824E-2</v>
      </c>
      <c r="K92" s="4">
        <f>MAX(0,ADAPTATION!K91-PARAMETERS!$B$17*(PARAMETERS!$B$16-ADAPTATION!L91))</f>
        <v>0.47116444568995275</v>
      </c>
      <c r="L92" s="4">
        <f>PARAMETERS!$B$4/ADAPTATION!J92</f>
        <v>2.2052811029295647</v>
      </c>
      <c r="O92" s="10"/>
      <c r="Q92" s="135"/>
    </row>
    <row r="93" spans="1:20" ht="20.149999999999999" customHeight="1" x14ac:dyDescent="0.35">
      <c r="A93" s="1">
        <f t="shared" si="8"/>
        <v>2068</v>
      </c>
      <c r="B93" s="13">
        <f t="shared" si="5"/>
        <v>2900.8051318814337</v>
      </c>
      <c r="C93" s="13">
        <f t="shared" si="6"/>
        <v>1785.4791856282025</v>
      </c>
      <c r="D93" s="4">
        <f>(4/PARAMETERS!$B$6)*C93/B93</f>
        <v>82.068212304453482</v>
      </c>
      <c r="E93" s="10">
        <f>PARAMETERS!$B$4*B93</f>
        <v>217.56038489110753</v>
      </c>
      <c r="F93" s="4">
        <f t="shared" si="7"/>
        <v>1.3280636332641991E-3</v>
      </c>
      <c r="G93" s="28">
        <f>PARAMETERS!$B$7*E93^PARAMETERS!$B$8</f>
        <v>15.883702564860036</v>
      </c>
      <c r="H93" s="13">
        <f>H92+G92+PARAMETERS!$B$14</f>
        <v>1355.2779287538469</v>
      </c>
      <c r="I93" s="4">
        <f>PARAMETERS!$B$9*H93</f>
        <v>2.9677618877821468</v>
      </c>
      <c r="J93" s="141">
        <f>MAX(1/D93,1/D93+PARAMETERS!$B$10*(I93-PARAMETERS!$B$11))</f>
        <v>3.4201414097709597E-2</v>
      </c>
      <c r="K93" s="4">
        <f>MAX(0,ADAPTATION!K92-PARAMETERS!$B$17*(PARAMETERS!$B$16-ADAPTATION!L92))</f>
        <v>0.45642850083643099</v>
      </c>
      <c r="L93" s="4">
        <f>PARAMETERS!$B$4/ADAPTATION!J93</f>
        <v>2.1928917847002882</v>
      </c>
      <c r="O93" s="10"/>
      <c r="Q93" s="135"/>
    </row>
    <row r="94" spans="1:20" ht="20.149999999999999" customHeight="1" x14ac:dyDescent="0.35">
      <c r="A94" s="1">
        <f t="shared" si="8"/>
        <v>2069</v>
      </c>
      <c r="B94" s="13">
        <f t="shared" si="5"/>
        <v>2900.8942546664407</v>
      </c>
      <c r="C94" s="13">
        <f t="shared" si="6"/>
        <v>1842.6728972115534</v>
      </c>
      <c r="D94" s="4">
        <f>(4/PARAMETERS!$B$6)*C94/B94</f>
        <v>84.694476275026361</v>
      </c>
      <c r="E94" s="10">
        <f>PARAMETERS!$B$4*B94</f>
        <v>217.56706909998306</v>
      </c>
      <c r="F94" s="4">
        <f t="shared" si="7"/>
        <v>3.0723465022697578E-5</v>
      </c>
      <c r="G94" s="28">
        <f>PARAMETERS!$B$7*E94^PARAMETERS!$B$8</f>
        <v>15.883962830930352</v>
      </c>
      <c r="H94" s="13">
        <f>H93+G93+PARAMETERS!$B$14</f>
        <v>1372.6616313187069</v>
      </c>
      <c r="I94" s="4">
        <f>PARAMETERS!$B$9*H94</f>
        <v>3.0058283897489932</v>
      </c>
      <c r="J94" s="141">
        <f>MAX(1/D94,1/D94+PARAMETERS!$B$10*(I94-PARAMETERS!$B$11))</f>
        <v>3.4394571293981976E-2</v>
      </c>
      <c r="K94" s="4">
        <f>MAX(0,ADAPTATION!K93-PARAMETERS!$B$17*(PARAMETERS!$B$16-ADAPTATION!L93))</f>
        <v>0.44107309007144541</v>
      </c>
      <c r="L94" s="4">
        <f>PARAMETERS!$B$4/ADAPTATION!J94</f>
        <v>2.1805766776085025</v>
      </c>
      <c r="O94" s="10"/>
      <c r="Q94" s="135"/>
    </row>
    <row r="95" spans="1:20" ht="20.149999999999999" customHeight="1" x14ac:dyDescent="0.35">
      <c r="A95" s="1">
        <f t="shared" si="8"/>
        <v>2070</v>
      </c>
      <c r="B95" s="13">
        <f t="shared" si="5"/>
        <v>2897.0822198737301</v>
      </c>
      <c r="C95" s="13">
        <f t="shared" si="6"/>
        <v>1900.8990425111881</v>
      </c>
      <c r="D95" s="4">
        <f>(4/PARAMETERS!$B$6)*C95/B95</f>
        <v>87.485679187663933</v>
      </c>
      <c r="E95" s="10">
        <f>PARAMETERS!$B$4*B95</f>
        <v>217.28116649052976</v>
      </c>
      <c r="F95" s="4">
        <f t="shared" si="7"/>
        <v>-1.3140895386236759E-3</v>
      </c>
      <c r="G95" s="28">
        <f>PARAMETERS!$B$7*E95^PARAMETERS!$B$8</f>
        <v>15.872827175684796</v>
      </c>
      <c r="H95" s="13">
        <f>H94+G94+PARAMETERS!$B$14</f>
        <v>1390.0455941496373</v>
      </c>
      <c r="I95" s="4">
        <f>PARAMETERS!$B$9*H95</f>
        <v>3.0438954616415419</v>
      </c>
      <c r="J95" s="141">
        <f>MAX(1/D95,1/D95+PARAMETERS!$B$10*(I95-PARAMETERS!$B$11))</f>
        <v>3.4588874132826353E-2</v>
      </c>
      <c r="K95" s="4">
        <f>MAX(0,ADAPTATION!K94-PARAMETERS!$B$17*(PARAMETERS!$B$16-ADAPTATION!L94))</f>
        <v>0.42510192395187052</v>
      </c>
      <c r="L95" s="4">
        <f>PARAMETERS!$B$4/ADAPTATION!J95</f>
        <v>2.1683272983095372</v>
      </c>
      <c r="O95" s="10"/>
      <c r="Q95" s="135"/>
    </row>
    <row r="96" spans="1:20" ht="20.149999999999999" customHeight="1" x14ac:dyDescent="0.35">
      <c r="A96" s="1">
        <f t="shared" si="8"/>
        <v>2071</v>
      </c>
      <c r="B96" s="13">
        <f t="shared" si="5"/>
        <v>2889.2420495316992</v>
      </c>
      <c r="C96" s="13">
        <f t="shared" si="6"/>
        <v>1960.0636093674573</v>
      </c>
      <c r="D96" s="4">
        <f>(4/PARAMETERS!$B$6)*C96/B96</f>
        <v>90.453416536938136</v>
      </c>
      <c r="E96" s="10">
        <f>PARAMETERS!$B$4*B96</f>
        <v>216.69315371487744</v>
      </c>
      <c r="F96" s="4">
        <f t="shared" si="7"/>
        <v>-2.706229836436124E-3</v>
      </c>
      <c r="G96" s="28">
        <f>PARAMETERS!$B$7*E96^PARAMETERS!$B$8</f>
        <v>15.849903080294773</v>
      </c>
      <c r="H96" s="13">
        <f>H95+G95+PARAMETERS!$B$14</f>
        <v>1407.418421325322</v>
      </c>
      <c r="I96" s="4">
        <f>PARAMETERS!$B$9*H96</f>
        <v>3.0819381488875668</v>
      </c>
      <c r="J96" s="141">
        <f>MAX(1/D96,1/D96+PARAMETERS!$B$10*(I96-PARAMETERS!$B$11))</f>
        <v>3.478448659227952E-2</v>
      </c>
      <c r="K96" s="4">
        <f>MAX(0,ADAPTATION!K95-PARAMETERS!$B$17*(PARAMETERS!$B$16-ADAPTATION!L95))</f>
        <v>0.40851828886734737</v>
      </c>
      <c r="L96" s="4">
        <f>PARAMETERS!$B$4/ADAPTATION!J96</f>
        <v>2.1561335913650193</v>
      </c>
      <c r="O96" s="10"/>
      <c r="Q96" s="135"/>
    </row>
    <row r="97" spans="1:23" ht="20.149999999999999" customHeight="1" x14ac:dyDescent="0.35">
      <c r="A97" s="1">
        <f t="shared" si="8"/>
        <v>2072</v>
      </c>
      <c r="B97" s="13">
        <f t="shared" si="5"/>
        <v>2877.2643645627845</v>
      </c>
      <c r="C97" s="13">
        <f t="shared" si="6"/>
        <v>2020.0538403774067</v>
      </c>
      <c r="D97" s="4">
        <f>(4/PARAMETERS!$B$6)*C97/B97</f>
        <v>93.609928711312079</v>
      </c>
      <c r="E97" s="10">
        <f>PARAMETERS!$B$4*B97</f>
        <v>215.79482734220883</v>
      </c>
      <c r="F97" s="4">
        <f t="shared" si="7"/>
        <v>-4.1456149272284552E-3</v>
      </c>
      <c r="G97" s="28">
        <f>PARAMETERS!$B$7*E97^PARAMETERS!$B$8</f>
        <v>15.814825062386731</v>
      </c>
      <c r="H97" s="13">
        <f>H96+G96+PARAMETERS!$B$14</f>
        <v>1424.7683244056168</v>
      </c>
      <c r="I97" s="4">
        <f>PARAMETERS!$B$9*H97</f>
        <v>3.1199306373845626</v>
      </c>
      <c r="J97" s="141">
        <f>MAX(1/D97,1/D97+PARAMETERS!$B$10*(I97-PARAMETERS!$B$11))</f>
        <v>3.498158707439411E-2</v>
      </c>
      <c r="K97" s="4">
        <f>MAX(0,ADAPTATION!K96-PARAMETERS!$B$17*(PARAMETERS!$B$16-ADAPTATION!L96))</f>
        <v>0.39132496843559833</v>
      </c>
      <c r="L97" s="4">
        <f>PARAMETERS!$B$4/ADAPTATION!J97</f>
        <v>2.1439850582107707</v>
      </c>
      <c r="O97" s="10"/>
      <c r="Q97" s="135"/>
    </row>
    <row r="98" spans="1:23" ht="20.149999999999999" customHeight="1" x14ac:dyDescent="0.35">
      <c r="A98" s="1">
        <f t="shared" si="8"/>
        <v>2073</v>
      </c>
      <c r="B98" s="13">
        <f t="shared" si="5"/>
        <v>2861.0589946560353</v>
      </c>
      <c r="C98" s="13">
        <f t="shared" si="6"/>
        <v>2080.7380744092338</v>
      </c>
      <c r="D98" s="4">
        <f>(4/PARAMETERS!$B$6)*C98/B98</f>
        <v>96.968200855962479</v>
      </c>
      <c r="E98" s="10">
        <f>PARAMETERS!$B$4*B98</f>
        <v>214.57942459920264</v>
      </c>
      <c r="F98" s="4">
        <f t="shared" si="7"/>
        <v>-5.6322144417243186E-3</v>
      </c>
      <c r="G98" s="28">
        <f>PARAMETERS!$B$7*E98^PARAMETERS!$B$8</f>
        <v>15.767257133248188</v>
      </c>
      <c r="H98" s="13">
        <f>H97+G97+PARAMETERS!$B$14</f>
        <v>1442.0831494680035</v>
      </c>
      <c r="I98" s="4">
        <f>PARAMETERS!$B$9*H98</f>
        <v>3.1578463127036578</v>
      </c>
      <c r="J98" s="141">
        <f>MAX(1/D98,1/D98+PARAMETERS!$B$10*(I98-PARAMETERS!$B$11))</f>
        <v>3.5180353801198883E-2</v>
      </c>
      <c r="K98" s="4">
        <f>MAX(0,ADAPTATION!K97-PARAMETERS!$B$17*(PARAMETERS!$B$16-ADAPTATION!L97))</f>
        <v>0.37352422134613689</v>
      </c>
      <c r="L98" s="4">
        <f>PARAMETERS!$B$4/ADAPTATION!J98</f>
        <v>2.1318716811041321</v>
      </c>
      <c r="O98" s="10"/>
      <c r="Q98" s="135"/>
      <c r="S98" s="6"/>
    </row>
    <row r="99" spans="1:23" ht="20.149999999999999" customHeight="1" x14ac:dyDescent="0.35">
      <c r="A99" s="1">
        <f t="shared" si="8"/>
        <v>2074</v>
      </c>
      <c r="B99" s="13">
        <f t="shared" si="5"/>
        <v>2840.556539468253</v>
      </c>
      <c r="C99" s="13">
        <f t="shared" si="6"/>
        <v>2141.965784892775</v>
      </c>
      <c r="D99" s="4">
        <f>(4/PARAMETERS!$B$6)*C99/B99</f>
        <v>100.54207125170136</v>
      </c>
      <c r="E99" s="10">
        <f>PARAMETERS!$B$4*B99</f>
        <v>213.04174046011897</v>
      </c>
      <c r="F99" s="4">
        <f t="shared" si="7"/>
        <v>-7.1660372002385351E-3</v>
      </c>
      <c r="G99" s="28">
        <f>PARAMETERS!$B$7*E99^PARAMETERS!$B$8</f>
        <v>15.706895351014113</v>
      </c>
      <c r="H99" s="13">
        <f>H98+G98+PARAMETERS!$B$14</f>
        <v>1459.3504066012517</v>
      </c>
      <c r="I99" s="4">
        <f>PARAMETERS!$B$9*H99</f>
        <v>3.195657824674274</v>
      </c>
      <c r="J99" s="141">
        <f>MAX(1/D99,1/D99+PARAMETERS!$B$10*(I99-PARAMETERS!$B$11))</f>
        <v>3.5380952501944715E-2</v>
      </c>
      <c r="K99" s="4">
        <f>MAX(0,ADAPTATION!K98-PARAMETERS!$B$17*(PARAMETERS!$B$16-ADAPTATION!L98))</f>
        <v>0.35511780540134347</v>
      </c>
      <c r="L99" s="4">
        <f>PARAMETERS!$B$4/ADAPTATION!J99</f>
        <v>2.1197846495477366</v>
      </c>
      <c r="O99" s="10"/>
      <c r="Q99" s="135"/>
      <c r="T99" s="6"/>
    </row>
    <row r="100" spans="1:23" ht="20.149999999999999" customHeight="1" x14ac:dyDescent="0.35">
      <c r="A100" s="1">
        <f t="shared" si="8"/>
        <v>2075</v>
      </c>
      <c r="B100" s="13">
        <f t="shared" si="5"/>
        <v>2815.7098587973187</v>
      </c>
      <c r="C100" s="13">
        <f t="shared" si="6"/>
        <v>2203.5678203257316</v>
      </c>
      <c r="D100" s="4">
        <f>(4/PARAMETERS!$B$6)*C100/B100</f>
        <v>104.34634868082358</v>
      </c>
      <c r="E100" s="10">
        <f>PARAMETERS!$B$4*B100</f>
        <v>211.17823940979889</v>
      </c>
      <c r="F100" s="4">
        <f t="shared" si="7"/>
        <v>-8.7471170968438736E-3</v>
      </c>
      <c r="G100" s="28">
        <f>PARAMETERS!$B$7*E100^PARAMETERS!$B$8</f>
        <v>15.633470459926537</v>
      </c>
      <c r="H100" s="13">
        <f>H99+G99+PARAMETERS!$B$14</f>
        <v>1476.5573019522658</v>
      </c>
      <c r="I100" s="4">
        <f>PARAMETERS!$B$9*H100</f>
        <v>3.2333371575597063</v>
      </c>
      <c r="J100" s="141">
        <f>MAX(1/D100,1/D100+PARAMETERS!$B$10*(I100-PARAMETERS!$B$11))</f>
        <v>3.5583526384039693E-2</v>
      </c>
      <c r="K100" s="4">
        <f>MAX(0,ADAPTATION!K99-PARAMETERS!$B$17*(PARAMETERS!$B$16-ADAPTATION!L99))</f>
        <v>0.33610703787873031</v>
      </c>
      <c r="L100" s="4">
        <f>PARAMETERS!$B$4/ADAPTATION!J100</f>
        <v>2.1077169022134861</v>
      </c>
      <c r="O100" s="10"/>
      <c r="Q100" s="135"/>
    </row>
    <row r="101" spans="1:23" ht="20.149999999999999" customHeight="1" x14ac:dyDescent="0.35">
      <c r="A101" s="1">
        <f t="shared" si="8"/>
        <v>2076</v>
      </c>
      <c r="B101" s="13">
        <f t="shared" si="5"/>
        <v>2786.4954652594765</v>
      </c>
      <c r="C101" s="13">
        <f t="shared" si="6"/>
        <v>2265.356853549476</v>
      </c>
      <c r="D101" s="4">
        <f>(4/PARAMETERS!$B$6)*C101/B101</f>
        <v>108.39693953894056</v>
      </c>
      <c r="E101" s="10">
        <f>PARAMETERS!$B$4*B101</f>
        <v>208.98715989446075</v>
      </c>
      <c r="F101" s="4">
        <f t="shared" si="7"/>
        <v>-1.0375498543134826E-2</v>
      </c>
      <c r="G101" s="28">
        <f>PARAMETERS!$B$7*E101^PARAMETERS!$B$8</f>
        <v>15.546750595933602</v>
      </c>
      <c r="H101" s="13">
        <f>H100+G100+PARAMETERS!$B$14</f>
        <v>1493.6907724121922</v>
      </c>
      <c r="I101" s="4">
        <f>PARAMETERS!$B$9*H101</f>
        <v>3.2708557060121</v>
      </c>
      <c r="J101" s="141">
        <f>MAX(1/D101,1/D101+PARAMETERS!$B$10*(I101-PARAMETERS!$B$11))</f>
        <v>3.5788188300815545E-2</v>
      </c>
      <c r="K101" s="4">
        <f>MAX(0,ADAPTATION!K100-PARAMETERS!$B$17*(PARAMETERS!$B$16-ADAPTATION!L100))</f>
        <v>0.31649288298940459</v>
      </c>
      <c r="L101" s="4">
        <f>PARAMETERS!$B$4/ADAPTATION!J101</f>
        <v>2.0956635013091987</v>
      </c>
      <c r="O101" s="10"/>
      <c r="Q101" s="135"/>
    </row>
    <row r="102" spans="1:23" ht="20.149999999999999" customHeight="1" x14ac:dyDescent="0.35">
      <c r="A102" s="1">
        <f t="shared" si="8"/>
        <v>2077</v>
      </c>
      <c r="B102" s="13">
        <f t="shared" ref="B102:B125" si="9">B101+K101*E101-J101*B101</f>
        <v>2752.9147895921669</v>
      </c>
      <c r="C102" s="13">
        <f t="shared" si="6"/>
        <v>2327.1280470577994</v>
      </c>
      <c r="D102" s="4">
        <f>(4/PARAMETERS!$B$6)*C102/B102</f>
        <v>112.71098574528486</v>
      </c>
      <c r="E102" s="10">
        <f>PARAMETERS!$B$4*B102</f>
        <v>206.46860921941251</v>
      </c>
      <c r="F102" s="4">
        <f t="shared" si="7"/>
        <v>-1.2051222076610395E-2</v>
      </c>
      <c r="G102" s="28">
        <f>PARAMETERS!$B$7*E102^PARAMETERS!$B$8</f>
        <v>15.446544030027429</v>
      </c>
      <c r="H102" s="13">
        <f>H101+G101+PARAMETERS!$B$14</f>
        <v>1510.7375230081259</v>
      </c>
      <c r="I102" s="4">
        <f>PARAMETERS!$B$9*H102</f>
        <v>3.3081843569521006</v>
      </c>
      <c r="J102" s="141">
        <f>MAX(1/D102,1/D102+PARAMETERS!$B$10*(I102-PARAMETERS!$B$11))</f>
        <v>3.5995014970302934E-2</v>
      </c>
      <c r="K102" s="4">
        <f>MAX(0,ADAPTATION!K101-PARAMETERS!$B$17*(PARAMETERS!$B$16-ADAPTATION!L101))</f>
        <v>0.29627605805486451</v>
      </c>
      <c r="L102" s="4">
        <f>PARAMETERS!$B$4/ADAPTATION!J102</f>
        <v>2.0836218588012105</v>
      </c>
      <c r="O102" s="10"/>
      <c r="Q102" s="135"/>
    </row>
    <row r="103" spans="1:23" ht="20.149999999999999" customHeight="1" x14ac:dyDescent="0.35">
      <c r="A103" s="1">
        <f t="shared" si="8"/>
        <v>2078</v>
      </c>
      <c r="B103" s="13">
        <f t="shared" si="9"/>
        <v>2714.9952861804263</v>
      </c>
      <c r="C103" s="13">
        <f t="shared" si="6"/>
        <v>2388.6599417339567</v>
      </c>
      <c r="D103" s="4">
        <f>(4/PARAMETERS!$B$6)*C103/B103</f>
        <v>117.30701480489751</v>
      </c>
      <c r="E103" s="10">
        <f>PARAMETERS!$B$4*B103</f>
        <v>203.62464646353197</v>
      </c>
      <c r="F103" s="4">
        <f t="shared" si="7"/>
        <v>-1.3774310616188071E-2</v>
      </c>
      <c r="G103" s="28">
        <f>PARAMETERS!$B$7*E103^PARAMETERS!$B$8</f>
        <v>15.332701912998527</v>
      </c>
      <c r="H103" s="13">
        <f>H102+G102+PARAMETERS!$B$14</f>
        <v>1527.6840670381532</v>
      </c>
      <c r="I103" s="4">
        <f>PARAMETERS!$B$9*H103</f>
        <v>3.3452935774558101</v>
      </c>
      <c r="J103" s="141">
        <f>MAX(1/D103,1/D103+PARAMETERS!$B$10*(I103-PARAMETERS!$B$11))</f>
        <v>3.6204043059260893E-2</v>
      </c>
      <c r="K103" s="4">
        <f>MAX(0,ADAPTATION!K102-PARAMETERS!$B$17*(PARAMETERS!$B$16-ADAPTATION!L102))</f>
        <v>0.27545715099492502</v>
      </c>
      <c r="L103" s="4">
        <f>PARAMETERS!$B$4/ADAPTATION!J103</f>
        <v>2.0715918351228235</v>
      </c>
      <c r="O103" s="10"/>
      <c r="Q103" s="135"/>
    </row>
    <row r="104" spans="1:23" ht="20.149999999999999" customHeight="1" x14ac:dyDescent="0.35">
      <c r="A104" s="1">
        <f t="shared" si="8"/>
        <v>2079</v>
      </c>
      <c r="B104" s="13">
        <f t="shared" si="9"/>
        <v>2672.7913449210532</v>
      </c>
      <c r="C104" s="13">
        <f t="shared" si="6"/>
        <v>2449.7155758258273</v>
      </c>
      <c r="D104" s="4">
        <f>(4/PARAMETERS!$B$6)*C104/B104</f>
        <v>122.20510368836568</v>
      </c>
      <c r="E104" s="10">
        <f>PARAMETERS!$B$4*B104</f>
        <v>200.45935086907897</v>
      </c>
      <c r="F104" s="4">
        <f t="shared" si="7"/>
        <v>-1.5544756734641578E-2</v>
      </c>
      <c r="G104" s="28">
        <f>PARAMETERS!$B$7*E104^PARAMETERS!$B$8</f>
        <v>15.205120978831312</v>
      </c>
      <c r="H104" s="13">
        <f>H103+G103+PARAMETERS!$B$14</f>
        <v>1544.5167689511518</v>
      </c>
      <c r="I104" s="4">
        <f>PARAMETERS!$B$9*H104</f>
        <v>3.3821535086521575</v>
      </c>
      <c r="J104" s="141">
        <f>MAX(1/D104,1/D104+PARAMETERS!$B$10*(I104-PARAMETERS!$B$11))</f>
        <v>3.6415266923565809E-2</v>
      </c>
      <c r="K104" s="4">
        <f>MAX(0,ADAPTATION!K103-PARAMETERS!$B$17*(PARAMETERS!$B$16-ADAPTATION!L103))</f>
        <v>0.25403674275106619</v>
      </c>
      <c r="L104" s="4">
        <f>PARAMETERS!$B$4/ADAPTATION!J104</f>
        <v>2.0595757311740157</v>
      </c>
      <c r="O104" s="10"/>
      <c r="Q104" s="135"/>
    </row>
    <row r="105" spans="1:23" ht="20.149999999999999" customHeight="1" x14ac:dyDescent="0.35">
      <c r="A105" s="1">
        <f t="shared" si="8"/>
        <v>2080</v>
      </c>
      <c r="B105" s="13">
        <f t="shared" si="9"/>
        <v>2626.3849752135307</v>
      </c>
      <c r="C105" s="13">
        <f t="shared" si="6"/>
        <v>2510.0438395656183</v>
      </c>
      <c r="D105" s="4">
        <f>(4/PARAMETERS!$B$6)*C105/B105</f>
        <v>127.42705852361682</v>
      </c>
      <c r="E105" s="10">
        <f>PARAMETERS!$B$4*B105</f>
        <v>196.97887314101479</v>
      </c>
      <c r="F105" s="4">
        <f t="shared" si="7"/>
        <v>-1.7362511217235782E-2</v>
      </c>
      <c r="G105" s="28">
        <f>PARAMETERS!$B$7*E105^PARAMETERS!$B$8</f>
        <v>15.063746158869742</v>
      </c>
      <c r="H105" s="13">
        <f>H104+G104+PARAMETERS!$B$14</f>
        <v>1561.221889929983</v>
      </c>
      <c r="I105" s="4">
        <f>PARAMETERS!$B$9*H105</f>
        <v>3.4187340655401091</v>
      </c>
      <c r="J105" s="141">
        <f>MAX(1/D105,1/D105+PARAMETERS!$B$10*(I105-PARAMETERS!$B$11))</f>
        <v>3.662863778690692E-2</v>
      </c>
      <c r="K105" s="4">
        <f>MAX(0,ADAPTATION!K104-PARAMETERS!$B$17*(PARAMETERS!$B$16-ADAPTATION!L104))</f>
        <v>0.23201552930976699</v>
      </c>
      <c r="L105" s="4">
        <f>PARAMETERS!$B$4/ADAPTATION!J105</f>
        <v>2.0475781937708071</v>
      </c>
      <c r="O105" s="10"/>
      <c r="Q105" s="135"/>
    </row>
    <row r="106" spans="1:23" s="6" customFormat="1" ht="20.149999999999999" customHeight="1" x14ac:dyDescent="0.35">
      <c r="A106" s="1">
        <f t="shared" si="8"/>
        <v>2081</v>
      </c>
      <c r="B106" s="13">
        <f t="shared" si="9"/>
        <v>2575.8862287821139</v>
      </c>
      <c r="C106" s="13">
        <f t="shared" si="6"/>
        <v>2569.3810685632729</v>
      </c>
      <c r="D106" s="4">
        <f>(4/PARAMETERS!$B$6)*C106/B106</f>
        <v>132.99661244630272</v>
      </c>
      <c r="E106" s="10">
        <f>PARAMETERS!$B$4*B106</f>
        <v>193.19146715865853</v>
      </c>
      <c r="F106" s="4">
        <f t="shared" si="7"/>
        <v>-1.9227473088674358E-2</v>
      </c>
      <c r="G106" s="28">
        <f>PARAMETERS!$B$7*E106^PARAMETERS!$B$8</f>
        <v>14.90857305519147</v>
      </c>
      <c r="H106" s="13">
        <f>H105+G105+PARAMETERS!$B$14</f>
        <v>1577.7856360888527</v>
      </c>
      <c r="I106" s="4">
        <f>PARAMETERS!$B$9*H106</f>
        <v>3.4550050425303347</v>
      </c>
      <c r="J106" s="141">
        <f>MAX(1/D106,1/D106+PARAMETERS!$B$10*(I106-PARAMETERS!$B$11))</f>
        <v>3.6844064141543779E-2</v>
      </c>
      <c r="K106" s="4">
        <f>MAX(0,ADAPTATION!K105-PARAMETERS!$B$17*(PARAMETERS!$B$16-ADAPTATION!L105))</f>
        <v>0.20939443899830734</v>
      </c>
      <c r="L106" s="4">
        <f>PARAMETERS!$B$4/ADAPTATION!J106</f>
        <v>2.0356060534438498</v>
      </c>
      <c r="M106" s="53"/>
      <c r="O106" s="10"/>
      <c r="P106" s="1"/>
      <c r="Q106" s="135"/>
      <c r="R106" s="1"/>
      <c r="S106" s="1"/>
      <c r="T106" s="1"/>
      <c r="W106" s="1"/>
    </row>
    <row r="107" spans="1:23" ht="20.149999999999999" customHeight="1" x14ac:dyDescent="0.35">
      <c r="A107" s="1">
        <f t="shared" si="8"/>
        <v>2082</v>
      </c>
      <c r="B107" s="13">
        <f t="shared" si="9"/>
        <v>2521.4333302324935</v>
      </c>
      <c r="C107" s="13">
        <f t="shared" si="6"/>
        <v>2627.4528759427708</v>
      </c>
      <c r="D107" s="4">
        <f>(4/PARAMETERS!$B$6)*C107/B107</f>
        <v>138.93964433848436</v>
      </c>
      <c r="E107" s="10">
        <f>PARAMETERS!$B$4*B107</f>
        <v>189.10749976743702</v>
      </c>
      <c r="F107" s="4">
        <f t="shared" si="7"/>
        <v>-2.1139481216670648E-2</v>
      </c>
      <c r="G107" s="28">
        <f>PARAMETERS!$B$7*E107^PARAMETERS!$B$8</f>
        <v>14.739650219368606</v>
      </c>
      <c r="H107" s="13">
        <f>H106+G106+PARAMETERS!$B$14</f>
        <v>1594.1942091440442</v>
      </c>
      <c r="I107" s="4">
        <f>PARAMETERS!$B$9*H107</f>
        <v>3.4909362244030167</v>
      </c>
      <c r="J107" s="141">
        <f>MAX(1/D107,1/D107+PARAMETERS!$B$10*(I107-PARAMETERS!$B$11))</f>
        <v>3.7061413164716984E-2</v>
      </c>
      <c r="K107" s="4">
        <f>MAX(0,ADAPTATION!K106-PARAMETERS!$B$17*(PARAMETERS!$B$16-ADAPTATION!L106))</f>
        <v>0.18617474167049983</v>
      </c>
      <c r="L107" s="4">
        <f>PARAMETERS!$B$4/ADAPTATION!J107</f>
        <v>2.0236681118085671</v>
      </c>
      <c r="O107" s="10"/>
      <c r="Q107" s="135"/>
    </row>
    <row r="108" spans="1:23" ht="20.149999999999999" customHeight="1" x14ac:dyDescent="0.35">
      <c r="A108" s="1">
        <f t="shared" si="8"/>
        <v>2083</v>
      </c>
      <c r="B108" s="13">
        <f t="shared" si="9"/>
        <v>2463.1924877306155</v>
      </c>
      <c r="C108" s="13">
        <f t="shared" si="6"/>
        <v>2683.9762191869122</v>
      </c>
      <c r="D108" s="4">
        <f>(4/PARAMETERS!$B$6)*C108/B108</f>
        <v>145.28442160900488</v>
      </c>
      <c r="E108" s="10">
        <f>PARAMETERS!$B$4*B108</f>
        <v>184.73943657979615</v>
      </c>
      <c r="F108" s="4">
        <f t="shared" si="7"/>
        <v>-2.3098307539429597E-2</v>
      </c>
      <c r="G108" s="28">
        <f>PARAMETERS!$B$7*E108^PARAMETERS!$B$8</f>
        <v>14.557081181962767</v>
      </c>
      <c r="H108" s="13">
        <f>H107+G107+PARAMETERS!$B$14</f>
        <v>1610.4338593634127</v>
      </c>
      <c r="I108" s="4">
        <f>PARAMETERS!$B$9*H108</f>
        <v>3.5264975022556486</v>
      </c>
      <c r="J108" s="141">
        <f>MAX(1/D108,1/D108+PARAMETERS!$B$10*(I108-PARAMETERS!$B$11))</f>
        <v>3.7280512959511056E-2</v>
      </c>
      <c r="K108" s="4">
        <f>MAX(0,ADAPTATION!K107-PARAMETERS!$B$17*(PARAMETERS!$B$16-ADAPTATION!L107))</f>
        <v>0.16235814726092818</v>
      </c>
      <c r="L108" s="4">
        <f>PARAMETERS!$B$4/ADAPTATION!J108</f>
        <v>2.0117748938018809</v>
      </c>
      <c r="O108" s="10"/>
      <c r="Q108" s="135"/>
    </row>
    <row r="109" spans="1:23" ht="20.149999999999999" customHeight="1" x14ac:dyDescent="0.35">
      <c r="A109" s="1">
        <f t="shared" si="8"/>
        <v>2084</v>
      </c>
      <c r="B109" s="13">
        <f t="shared" si="9"/>
        <v>2401.3573609191276</v>
      </c>
      <c r="C109" s="13">
        <f t="shared" si="6"/>
        <v>2738.661692895168</v>
      </c>
      <c r="D109" s="4">
        <f>(4/PARAMETERS!$B$6)*C109/B109</f>
        <v>152.06187064396704</v>
      </c>
      <c r="E109" s="10">
        <f>PARAMETERS!$B$4*B109</f>
        <v>180.10180206893457</v>
      </c>
      <c r="F109" s="4">
        <f t="shared" si="7"/>
        <v>-2.5103651914941287E-2</v>
      </c>
      <c r="G109" s="28">
        <f>PARAMETERS!$B$7*E109^PARAMETERS!$B$8</f>
        <v>14.361026178683117</v>
      </c>
      <c r="H109" s="13">
        <f>H108+G108+PARAMETERS!$B$14</f>
        <v>1626.4909405453755</v>
      </c>
      <c r="I109" s="4">
        <f>PARAMETERS!$B$9*H109</f>
        <v>3.5616589938949832</v>
      </c>
      <c r="J109" s="141">
        <f>MAX(1/D109,1/D109+PARAMETERS!$B$10*(I109-PARAMETERS!$B$11))</f>
        <v>3.7501155447285661E-2</v>
      </c>
      <c r="K109" s="4">
        <f>MAX(0,ADAPTATION!K108-PARAMETERS!$B$17*(PARAMETERS!$B$16-ADAPTATION!L108))</f>
        <v>0.13794689195102222</v>
      </c>
      <c r="L109" s="4">
        <f>PARAMETERS!$B$4/ADAPTATION!J109</f>
        <v>1.9999383780434559</v>
      </c>
      <c r="O109" s="10"/>
      <c r="Q109" s="135"/>
      <c r="S109" s="6"/>
      <c r="T109" s="6"/>
    </row>
    <row r="110" spans="1:23" ht="20.149999999999999" customHeight="1" x14ac:dyDescent="0.35">
      <c r="A110" s="1">
        <f t="shared" si="8"/>
        <v>2085</v>
      </c>
      <c r="B110" s="13">
        <f t="shared" si="9"/>
        <v>2336.1481690730034</v>
      </c>
      <c r="C110" s="13">
        <f t="shared" si="6"/>
        <v>2791.2160332711264</v>
      </c>
      <c r="D110" s="4">
        <f>(4/PARAMETERS!$B$6)*C110/B110</f>
        <v>159.30587909462932</v>
      </c>
      <c r="E110" s="10">
        <f>PARAMETERS!$B$4*B110</f>
        <v>175.21111268047525</v>
      </c>
      <c r="F110" s="4">
        <f t="shared" si="7"/>
        <v>-2.7155138550959051E-2</v>
      </c>
      <c r="G110" s="28">
        <f>PARAMETERS!$B$7*E110^PARAMETERS!$B$8</f>
        <v>14.151703521091472</v>
      </c>
      <c r="H110" s="13">
        <f>H109+G109+PARAMETERS!$B$14</f>
        <v>1642.3519667240585</v>
      </c>
      <c r="I110" s="4">
        <f>PARAMETERS!$B$9*H110</f>
        <v>3.5963911680088874</v>
      </c>
      <c r="J110" s="141">
        <f>MAX(1/D110,1/D110+PARAMETERS!$B$10*(I110-PARAMETERS!$B$11))</f>
        <v>3.7723099758411156E-2</v>
      </c>
      <c r="K110" s="4">
        <f>MAX(0,ADAPTATION!K109-PARAMETERS!$B$17*(PARAMETERS!$B$16-ADAPTATION!L109))</f>
        <v>0.11294381085319502</v>
      </c>
      <c r="L110" s="4">
        <f>PARAMETERS!$B$4/ADAPTATION!J110</f>
        <v>1.9881717165429167</v>
      </c>
      <c r="O110" s="10"/>
      <c r="Q110" s="135"/>
      <c r="U110" s="6"/>
    </row>
    <row r="111" spans="1:23" ht="20.149999999999999" customHeight="1" x14ac:dyDescent="0.35">
      <c r="A111" s="1">
        <f t="shared" si="8"/>
        <v>2086</v>
      </c>
      <c r="B111" s="13">
        <f t="shared" si="9"/>
        <v>2267.8104294105942</v>
      </c>
      <c r="C111" s="13">
        <f t="shared" si="6"/>
        <v>2841.3448143112769</v>
      </c>
      <c r="D111" s="4">
        <f>(4/PARAMETERS!$B$6)*C111/B111</f>
        <v>167.05363478726306</v>
      </c>
      <c r="E111" s="10">
        <f>PARAMETERS!$B$4*B111</f>
        <v>170.08578220579457</v>
      </c>
      <c r="F111" s="4">
        <f t="shared" si="7"/>
        <v>-2.9252313944421543E-2</v>
      </c>
      <c r="G111" s="28">
        <f>PARAMETERS!$B$7*E111^PARAMETERS!$B$8</f>
        <v>13.92939056301287</v>
      </c>
      <c r="H111" s="13">
        <f>H110+G110+PARAMETERS!$B$14</f>
        <v>1658.00367024515</v>
      </c>
      <c r="I111" s="4">
        <f>PARAMETERS!$B$9*H111</f>
        <v>3.630664971339745</v>
      </c>
      <c r="J111" s="141">
        <f>MAX(1/D111,1/D111+PARAMETERS!$B$10*(I111-PARAMETERS!$B$11))</f>
        <v>3.7946075987604778E-2</v>
      </c>
      <c r="K111" s="4">
        <f>MAX(0,ADAPTATION!K110-PARAMETERS!$B$17*(PARAMETERS!$B$16-ADAPTATION!L110))</f>
        <v>8.7352396680340852E-2</v>
      </c>
      <c r="L111" s="4">
        <f>PARAMETERS!$B$4/ADAPTATION!J111</f>
        <v>1.9764889530210981</v>
      </c>
      <c r="O111" s="10"/>
      <c r="Q111" s="135"/>
    </row>
    <row r="112" spans="1:23" ht="20.149999999999999" customHeight="1" x14ac:dyDescent="0.35">
      <c r="A112" s="1">
        <f t="shared" si="8"/>
        <v>2087</v>
      </c>
      <c r="B112" s="13">
        <f t="shared" si="9"/>
        <v>2196.6133232476241</v>
      </c>
      <c r="C112" s="13">
        <f t="shared" si="6"/>
        <v>2888.7553095693024</v>
      </c>
      <c r="D112" s="4">
        <f>(4/PARAMETERS!$B$6)*C112/B112</f>
        <v>175.34600675178569</v>
      </c>
      <c r="E112" s="10">
        <f>PARAMETERS!$B$4*B112</f>
        <v>164.74599924357179</v>
      </c>
      <c r="F112" s="4">
        <f t="shared" si="7"/>
        <v>-3.1394646236579241E-2</v>
      </c>
      <c r="G112" s="28">
        <f>PARAMETERS!$B$7*E112^PARAMETERS!$B$8</f>
        <v>13.694424218328804</v>
      </c>
      <c r="H112" s="13">
        <f>H111+G111+PARAMETERS!$B$14</f>
        <v>1673.433060808163</v>
      </c>
      <c r="I112" s="4">
        <f>PARAMETERS!$B$9*H112</f>
        <v>3.6644519579740797</v>
      </c>
      <c r="J112" s="141">
        <f>MAX(1/D112,1/D112+PARAMETERS!$B$10*(I112-PARAMETERS!$B$11))</f>
        <v>3.8169789198717649E-2</v>
      </c>
      <c r="K112" s="4">
        <f>MAX(0,ADAPTATION!K111-PARAMETERS!$B$17*(PARAMETERS!$B$16-ADAPTATION!L111))</f>
        <v>6.1176844331395752E-2</v>
      </c>
      <c r="L112" s="4">
        <f>PARAMETERS!$B$4/ADAPTATION!J112</f>
        <v>1.964904747299985</v>
      </c>
      <c r="O112" s="10"/>
      <c r="Q112" s="135"/>
    </row>
    <row r="113" spans="1:23" ht="20.149999999999999" customHeight="1" x14ac:dyDescent="0.35">
      <c r="A113" s="1">
        <f t="shared" si="8"/>
        <v>2088</v>
      </c>
      <c r="B113" s="13">
        <f t="shared" si="9"/>
        <v>2122.847696098112</v>
      </c>
      <c r="C113" s="13">
        <f t="shared" si="6"/>
        <v>2933.1594872499932</v>
      </c>
      <c r="D113" s="4">
        <f>(4/PARAMETERS!$B$6)*C113/B113</f>
        <v>184.22797469275321</v>
      </c>
      <c r="E113" s="10">
        <f>PARAMETERS!$B$4*B113</f>
        <v>159.21357720735838</v>
      </c>
      <c r="F113" s="4">
        <f t="shared" si="7"/>
        <v>-3.35815258738629E-2</v>
      </c>
      <c r="G113" s="28">
        <f>PARAMETERS!$B$7*E113^PARAMETERS!$B$8</f>
        <v>13.447200991501484</v>
      </c>
      <c r="H113" s="13">
        <f>H112+G112+PARAMETERS!$B$14</f>
        <v>1688.6274850264917</v>
      </c>
      <c r="I113" s="4">
        <f>PARAMETERS!$B$9*H113</f>
        <v>3.6977244197660406</v>
      </c>
      <c r="J113" s="141">
        <f>MAX(1/D113,1/D113+PARAMETERS!$B$10*(I113-PARAMETERS!$B$11))</f>
        <v>3.8393923580775216E-2</v>
      </c>
      <c r="K113" s="4">
        <f>MAX(0,ADAPTATION!K112-PARAMETERS!$B$17*(PARAMETERS!$B$16-ADAPTATION!L112))</f>
        <v>3.4422081696395004E-2</v>
      </c>
      <c r="L113" s="4">
        <f>PARAMETERS!$B$4/ADAPTATION!J113</f>
        <v>1.9534341115778631</v>
      </c>
      <c r="O113" s="10"/>
      <c r="Q113" s="135"/>
    </row>
    <row r="114" spans="1:23" ht="20.149999999999999" customHeight="1" x14ac:dyDescent="0.35">
      <c r="A114" s="1">
        <f t="shared" si="8"/>
        <v>2089</v>
      </c>
      <c r="B114" s="13">
        <f t="shared" si="9"/>
        <v>2046.8237066423033</v>
      </c>
      <c r="C114" s="13">
        <f t="shared" si="6"/>
        <v>2974.2771004918427</v>
      </c>
      <c r="D114" s="4">
        <f>(4/PARAMETERS!$B$6)*C114/B114</f>
        <v>193.74911419026401</v>
      </c>
      <c r="E114" s="10">
        <f>PARAMETERS!$B$4*B114</f>
        <v>153.51177799817273</v>
      </c>
      <c r="F114" s="4">
        <f t="shared" si="7"/>
        <v>-3.5812267453545606E-2</v>
      </c>
      <c r="G114" s="28">
        <f>PARAMETERS!$B$7*E114^PARAMETERS!$B$8</f>
        <v>13.188176488885921</v>
      </c>
      <c r="H114" s="13">
        <f>H113+G113+PARAMETERS!$B$14</f>
        <v>1703.5746860179931</v>
      </c>
      <c r="I114" s="4">
        <f>PARAMETERS!$B$9*H114</f>
        <v>3.7304555168277225</v>
      </c>
      <c r="J114" s="141">
        <f>MAX(1/D114,1/D114+PARAMETERS!$B$10*(I114-PARAMETERS!$B$11))</f>
        <v>3.8618146672117104E-2</v>
      </c>
      <c r="K114" s="4">
        <f>MAX(0,ADAPTATION!K113-PARAMETERS!$B$17*(PARAMETERS!$B$16-ADAPTATION!L113))</f>
        <v>7.0937872752881576E-3</v>
      </c>
      <c r="L114" s="4">
        <f>PARAMETERS!$B$4/ADAPTATION!J114</f>
        <v>1.9420921629610763</v>
      </c>
      <c r="O114" s="10"/>
      <c r="Q114" s="135"/>
      <c r="V114" s="6"/>
    </row>
    <row r="115" spans="1:23" s="6" customFormat="1" ht="20.149999999999999" customHeight="1" x14ac:dyDescent="0.35">
      <c r="A115" s="1">
        <f t="shared" si="8"/>
        <v>2090</v>
      </c>
      <c r="B115" s="13">
        <f t="shared" si="9"/>
        <v>1968.8681484245947</v>
      </c>
      <c r="C115" s="13">
        <f t="shared" si="6"/>
        <v>3011.838829282332</v>
      </c>
      <c r="D115" s="4">
        <f>(4/PARAMETERS!$B$6)*C115/B115</f>
        <v>203.96414604619605</v>
      </c>
      <c r="E115" s="10">
        <f>PARAMETERS!$B$4*B115</f>
        <v>147.66511113184458</v>
      </c>
      <c r="F115" s="4">
        <f t="shared" si="7"/>
        <v>-3.8086112626470547E-2</v>
      </c>
      <c r="G115" s="28">
        <f>PARAMETERS!$B$7*E115^PARAMETERS!$B$8</f>
        <v>12.917864386500488</v>
      </c>
      <c r="H115" s="13">
        <f>H114+G114+PARAMETERS!$B$14</f>
        <v>1718.2628625068792</v>
      </c>
      <c r="I115" s="4">
        <f>PARAMETERS!$B$9*H115</f>
        <v>3.7626194069493706</v>
      </c>
      <c r="J115" s="141">
        <f>MAX(1/D115,1/D115+PARAMETERS!$B$10*(I115-PARAMETERS!$B$11))</f>
        <v>3.8842113582528037E-2</v>
      </c>
      <c r="K115" s="4">
        <f>MAX(0,ADAPTATION!K114-PARAMETERS!$B$17*(PARAMETERS!$B$16-ADAPTATION!L114))</f>
        <v>0</v>
      </c>
      <c r="L115" s="4">
        <f>PARAMETERS!$B$4/ADAPTATION!J115</f>
        <v>1.9308938953758814</v>
      </c>
      <c r="M115" s="53"/>
      <c r="O115" s="10"/>
      <c r="P115" s="1"/>
      <c r="Q115" s="135"/>
      <c r="R115" s="1"/>
      <c r="S115" s="1"/>
      <c r="T115" s="1"/>
      <c r="W115" s="1"/>
    </row>
    <row r="116" spans="1:23" ht="20.149999999999999" customHeight="1" x14ac:dyDescent="0.35">
      <c r="A116" s="1">
        <f t="shared" si="8"/>
        <v>2091</v>
      </c>
      <c r="B116" s="13">
        <f t="shared" si="9"/>
        <v>1892.3931481744648</v>
      </c>
      <c r="C116" s="13">
        <f t="shared" si="6"/>
        <v>3042.517754514924</v>
      </c>
      <c r="D116" s="4">
        <f>(4/PARAMETERS!$B$6)*C116/B116</f>
        <v>214.36826397657381</v>
      </c>
      <c r="E116" s="10">
        <f>PARAMETERS!$B$4*B116</f>
        <v>141.92948611308486</v>
      </c>
      <c r="F116" s="4">
        <f t="shared" si="7"/>
        <v>-3.8842113582527954E-2</v>
      </c>
      <c r="G116" s="28">
        <f>PARAMETERS!$B$7*E116^PARAMETERS!$B$8</f>
        <v>12.647788044321764</v>
      </c>
      <c r="H116" s="13">
        <f>H115+G115+PARAMETERS!$B$14</f>
        <v>1732.6807268933796</v>
      </c>
      <c r="I116" s="4">
        <f>PARAMETERS!$B$9*H116</f>
        <v>3.7941913727592258</v>
      </c>
      <c r="J116" s="141">
        <f>MAX(1/D116,1/D116+PARAMETERS!$B$10*(I116-PARAMETERS!$B$11))</f>
        <v>3.907774020151538E-2</v>
      </c>
      <c r="K116" s="4">
        <f>MAX(0,ADAPTATION!K115-PARAMETERS!$B$17*(PARAMETERS!$B$16-ADAPTATION!L115))</f>
        <v>0</v>
      </c>
      <c r="L116" s="4">
        <f>PARAMETERS!$B$4/ADAPTATION!J116</f>
        <v>1.9192512057565601</v>
      </c>
      <c r="O116" s="10"/>
      <c r="Q116" s="135"/>
    </row>
    <row r="117" spans="1:23" ht="20.149999999999999" customHeight="1" x14ac:dyDescent="0.35">
      <c r="A117" s="1">
        <f t="shared" si="8"/>
        <v>2092</v>
      </c>
      <c r="B117" s="13">
        <f t="shared" si="9"/>
        <v>1818.4427003709752</v>
      </c>
      <c r="C117" s="13">
        <f t="shared" si="6"/>
        <v>3065.5525222585766</v>
      </c>
      <c r="D117" s="4">
        <f>(4/PARAMETERS!$B$6)*C117/B117</f>
        <v>224.7749330884925</v>
      </c>
      <c r="E117" s="10">
        <f>PARAMETERS!$B$4*B117</f>
        <v>136.38320252782313</v>
      </c>
      <c r="F117" s="4">
        <f t="shared" si="7"/>
        <v>-3.9077740201515505E-2</v>
      </c>
      <c r="G117" s="28">
        <f>PARAMETERS!$B$7*E117^PARAMETERS!$B$8</f>
        <v>12.381739074635007</v>
      </c>
      <c r="H117" s="13">
        <f>H116+G116+PARAMETERS!$B$14</f>
        <v>1746.8285149377014</v>
      </c>
      <c r="I117" s="4">
        <f>PARAMETERS!$B$9*H117</f>
        <v>3.8251719305205141</v>
      </c>
      <c r="J117" s="141">
        <f>MAX(1/D117,1/D117+PARAMETERS!$B$10*(I117-PARAMETERS!$B$11))</f>
        <v>3.9326473619946505E-2</v>
      </c>
      <c r="K117" s="4">
        <f>MAX(0,ADAPTATION!K116-PARAMETERS!$B$17*(PARAMETERS!$B$16-ADAPTATION!L116))</f>
        <v>0</v>
      </c>
      <c r="L117" s="4">
        <f>PARAMETERS!$B$4/ADAPTATION!J117</f>
        <v>1.9071122604280435</v>
      </c>
      <c r="O117" s="10"/>
      <c r="Q117" s="135"/>
    </row>
    <row r="118" spans="1:23" ht="20.149999999999999" customHeight="1" x14ac:dyDescent="0.35">
      <c r="A118" s="1">
        <f t="shared" si="8"/>
        <v>2093</v>
      </c>
      <c r="B118" s="13">
        <f t="shared" si="9"/>
        <v>1746.9297614854518</v>
      </c>
      <c r="C118" s="13">
        <f t="shared" si="6"/>
        <v>3081.3783543892373</v>
      </c>
      <c r="D118" s="4">
        <f>(4/PARAMETERS!$B$6)*C118/B118</f>
        <v>235.18429664999434</v>
      </c>
      <c r="E118" s="10">
        <f>PARAMETERS!$B$4*B118</f>
        <v>131.01973211140887</v>
      </c>
      <c r="F118" s="4">
        <f t="shared" si="7"/>
        <v>-3.9326473619946511E-2</v>
      </c>
      <c r="G118" s="28">
        <f>PARAMETERS!$B$7*E118^PARAMETERS!$B$8</f>
        <v>12.119613026549889</v>
      </c>
      <c r="H118" s="13">
        <f>H117+G117+PARAMETERS!$B$14</f>
        <v>1760.7102540123365</v>
      </c>
      <c r="I118" s="4">
        <f>PARAMETERS!$B$9*H118</f>
        <v>3.8555698992970875</v>
      </c>
      <c r="J118" s="141">
        <f>MAX(1/D118,1/D118+PARAMETERS!$B$10*(I118-PARAMETERS!$B$11))</f>
        <v>3.9585533057491559E-2</v>
      </c>
      <c r="K118" s="4">
        <f>MAX(0,ADAPTATION!K117-PARAMETERS!$B$17*(PARAMETERS!$B$16-ADAPTATION!L117))</f>
        <v>0</v>
      </c>
      <c r="L118" s="4">
        <f>PARAMETERS!$B$4/ADAPTATION!J118</f>
        <v>1.8946315536808529</v>
      </c>
      <c r="O118" s="10"/>
      <c r="Q118" s="135"/>
    </row>
    <row r="119" spans="1:23" ht="20.149999999999999" customHeight="1" x14ac:dyDescent="0.35">
      <c r="A119" s="1">
        <f t="shared" si="8"/>
        <v>2094</v>
      </c>
      <c r="B119" s="13">
        <f t="shared" si="9"/>
        <v>1677.7766156630535</v>
      </c>
      <c r="C119" s="13">
        <f t="shared" si="6"/>
        <v>3090.420081790332</v>
      </c>
      <c r="D119" s="4">
        <f>(4/PARAMETERS!$B$6)*C119/B119</f>
        <v>245.59646800330091</v>
      </c>
      <c r="E119" s="10">
        <f>PARAMETERS!$B$4*B119</f>
        <v>125.833246174729</v>
      </c>
      <c r="F119" s="4">
        <f t="shared" si="7"/>
        <v>-3.9585533057491622E-2</v>
      </c>
      <c r="G119" s="28">
        <f>PARAMETERS!$B$7*E119^PARAMETERS!$B$8</f>
        <v>11.861330023775908</v>
      </c>
      <c r="H119" s="13">
        <f>H118+G118+PARAMETERS!$B$14</f>
        <v>1774.3298670388863</v>
      </c>
      <c r="I119" s="4">
        <f>PARAMETERS!$B$9*H119</f>
        <v>3.8853938694282184</v>
      </c>
      <c r="J119" s="141">
        <f>MAX(1/D119,1/D119+PARAMETERS!$B$10*(I119-PARAMETERS!$B$11))</f>
        <v>3.9852627834993597E-2</v>
      </c>
      <c r="K119" s="4">
        <f>MAX(0,ADAPTATION!K118-PARAMETERS!$B$17*(PARAMETERS!$B$16-ADAPTATION!L118))</f>
        <v>0</v>
      </c>
      <c r="L119" s="4">
        <f>PARAMETERS!$B$4/ADAPTATION!J119</f>
        <v>1.8819336157839099</v>
      </c>
      <c r="O119" s="10"/>
      <c r="Q119" s="135"/>
    </row>
    <row r="120" spans="1:23" ht="20.149999999999999" customHeight="1" x14ac:dyDescent="0.35">
      <c r="A120" s="1">
        <f t="shared" si="8"/>
        <v>2095</v>
      </c>
      <c r="B120" s="13">
        <f t="shared" si="9"/>
        <v>1610.9128086087787</v>
      </c>
      <c r="C120" s="13">
        <f t="shared" si="6"/>
        <v>3093.0919665916804</v>
      </c>
      <c r="D120" s="4">
        <f>(4/PARAMETERS!$B$6)*C120/B120</f>
        <v>256.01153582507845</v>
      </c>
      <c r="E120" s="10">
        <f>PARAMETERS!$B$4*B120</f>
        <v>120.8184606456584</v>
      </c>
      <c r="F120" s="4">
        <f t="shared" si="7"/>
        <v>-3.9852627834993493E-2</v>
      </c>
      <c r="G120" s="28">
        <f>PARAMETERS!$B$7*E120^PARAMETERS!$B$8</f>
        <v>11.606829416463141</v>
      </c>
      <c r="H120" s="13">
        <f>H119+G119+PARAMETERS!$B$14</f>
        <v>1787.6911970626622</v>
      </c>
      <c r="I120" s="4">
        <f>PARAMETERS!$B$9*H120</f>
        <v>3.9146522563415966</v>
      </c>
      <c r="J120" s="141">
        <f>MAX(1/D120,1/D120+PARAMETERS!$B$10*(I120-PARAMETERS!$B$11))</f>
        <v>4.0125857830333962E-2</v>
      </c>
      <c r="K120" s="4">
        <f>MAX(0,ADAPTATION!K119-PARAMETERS!$B$17*(PARAMETERS!$B$16-ADAPTATION!L119))</f>
        <v>0</v>
      </c>
      <c r="L120" s="4">
        <f>PARAMETERS!$B$4/ADAPTATION!J120</f>
        <v>1.8691189187063864</v>
      </c>
      <c r="O120" s="10"/>
      <c r="Q120" s="135"/>
    </row>
    <row r="121" spans="1:23" ht="20.149999999999999" customHeight="1" x14ac:dyDescent="0.35">
      <c r="A121" s="1">
        <f t="shared" si="8"/>
        <v>2096</v>
      </c>
      <c r="B121" s="13">
        <f t="shared" si="9"/>
        <v>1546.2735502734788</v>
      </c>
      <c r="C121" s="13">
        <f t="shared" si="6"/>
        <v>3089.7974587297331</v>
      </c>
      <c r="D121" s="4">
        <f>(4/PARAMETERS!$B$6)*C121/B121</f>
        <v>266.42956831566767</v>
      </c>
      <c r="E121" s="10">
        <f>PARAMETERS!$B$4*B121</f>
        <v>115.9705162705109</v>
      </c>
      <c r="F121" s="4">
        <f t="shared" si="7"/>
        <v>-4.0125857830334108E-2</v>
      </c>
      <c r="G121" s="28">
        <f>PARAMETERS!$B$7*E121^PARAMETERS!$B$8</f>
        <v>11.356065558918328</v>
      </c>
      <c r="H121" s="13">
        <f>H120+G120+PARAMETERS!$B$14</f>
        <v>1800.7980264791254</v>
      </c>
      <c r="I121" s="4">
        <f>PARAMETERS!$B$9*H121</f>
        <v>3.9433533426550196</v>
      </c>
      <c r="J121" s="141">
        <f>MAX(1/D121,1/D121+PARAMETERS!$B$10*(I121-PARAMETERS!$B$11))</f>
        <v>4.0403637302520362E-2</v>
      </c>
      <c r="K121" s="4">
        <f>MAX(0,ADAPTATION!K120-PARAMETERS!$B$17*(PARAMETERS!$B$16-ADAPTATION!L120))</f>
        <v>0</v>
      </c>
      <c r="L121" s="4">
        <f>PARAMETERS!$B$4/ADAPTATION!J121</f>
        <v>1.8562685195503803</v>
      </c>
      <c r="O121" s="10"/>
      <c r="Q121" s="135"/>
    </row>
    <row r="122" spans="1:23" ht="20.149999999999999" customHeight="1" x14ac:dyDescent="0.35">
      <c r="A122" s="1">
        <f t="shared" si="8"/>
        <v>2097</v>
      </c>
      <c r="B122" s="13">
        <f t="shared" si="9"/>
        <v>1483.7984745777487</v>
      </c>
      <c r="C122" s="13">
        <f t="shared" si="6"/>
        <v>3080.9289191394787</v>
      </c>
      <c r="D122" s="4">
        <f>(4/PARAMETERS!$B$6)*C122/B122</f>
        <v>276.8506165696329</v>
      </c>
      <c r="E122" s="10">
        <f>PARAMETERS!$B$4*B122</f>
        <v>111.28488559333115</v>
      </c>
      <c r="F122" s="4">
        <f t="shared" si="7"/>
        <v>-4.0403637302520244E-2</v>
      </c>
      <c r="G122" s="28">
        <f>PARAMETERS!$B$7*E122^PARAMETERS!$B$8</f>
        <v>11.109004449675613</v>
      </c>
      <c r="H122" s="13">
        <f>H121+G121+PARAMETERS!$B$14</f>
        <v>1813.6540920380437</v>
      </c>
      <c r="I122" s="4">
        <f>PARAMETERS!$B$9*H122</f>
        <v>3.9715053110322129</v>
      </c>
      <c r="J122" s="141">
        <f>MAX(1/D122,1/D122+PARAMETERS!$B$10*(I122-PARAMETERS!$B$11))</f>
        <v>4.0684635915856332E-2</v>
      </c>
      <c r="K122" s="4">
        <f>MAX(0,ADAPTATION!K121-PARAMETERS!$B$17*(PARAMETERS!$B$16-ADAPTATION!L121))</f>
        <v>0</v>
      </c>
      <c r="L122" s="4">
        <f>PARAMETERS!$B$4/ADAPTATION!J122</f>
        <v>1.8434477367602466</v>
      </c>
      <c r="O122" s="10"/>
      <c r="Q122" s="135"/>
    </row>
    <row r="123" spans="1:23" ht="20.149999999999999" customHeight="1" x14ac:dyDescent="0.35">
      <c r="A123" s="1">
        <f t="shared" si="8"/>
        <v>2098</v>
      </c>
      <c r="B123" s="13">
        <f t="shared" si="9"/>
        <v>1423.43067386705</v>
      </c>
      <c r="C123" s="13">
        <f t="shared" si="6"/>
        <v>3066.8673333749875</v>
      </c>
      <c r="D123" s="4">
        <f>(4/PARAMETERS!$B$6)*C123/B123</f>
        <v>287.27471731313244</v>
      </c>
      <c r="E123" s="10">
        <f>PARAMETERS!$B$4*B123</f>
        <v>106.75730054002875</v>
      </c>
      <c r="F123" s="4">
        <f t="shared" si="7"/>
        <v>-4.0684635915856325E-2</v>
      </c>
      <c r="G123" s="28">
        <f>PARAMETERS!$B$7*E123^PARAMETERS!$B$8</f>
        <v>10.865621039953986</v>
      </c>
      <c r="H123" s="13">
        <f>H122+G122+PARAMETERS!$B$14</f>
        <v>1826.2630964877194</v>
      </c>
      <c r="I123" s="4">
        <f>PARAMETERS!$B$9*H123</f>
        <v>3.9991162696811378</v>
      </c>
      <c r="J123" s="141">
        <f>MAX(1/D123,1/D123+PARAMETERS!$B$10*(I123-PARAMETERS!$B$11))</f>
        <v>4.0967732589398585E-2</v>
      </c>
      <c r="K123" s="4">
        <f>MAX(0,ADAPTATION!K122-PARAMETERS!$B$17*(PARAMETERS!$B$16-ADAPTATION!L122))</f>
        <v>0</v>
      </c>
      <c r="L123" s="4">
        <f>PARAMETERS!$B$4/ADAPTATION!J123</f>
        <v>1.8307090790620935</v>
      </c>
      <c r="O123" s="10"/>
      <c r="Q123" s="135"/>
    </row>
    <row r="124" spans="1:23" ht="20.149999999999999" customHeight="1" x14ac:dyDescent="0.35">
      <c r="A124" s="1">
        <f t="shared" si="8"/>
        <v>2099</v>
      </c>
      <c r="B124" s="13">
        <f t="shared" si="9"/>
        <v>1365.1159466605172</v>
      </c>
      <c r="C124" s="13">
        <f t="shared" si="6"/>
        <v>3047.9820331141477</v>
      </c>
      <c r="D124" s="4">
        <f>(4/PARAMETERS!$B$6)*C124/B124</f>
        <v>297.70189514626219</v>
      </c>
      <c r="E124" s="10">
        <f>PARAMETERS!$B$4*B124</f>
        <v>102.38369599953879</v>
      </c>
      <c r="F124" s="4">
        <f t="shared" si="7"/>
        <v>-4.0967732589398669E-2</v>
      </c>
      <c r="G124" s="28">
        <f>PARAMETERS!$B$7*E124^PARAMETERS!$B$8</f>
        <v>10.625897065795714</v>
      </c>
      <c r="H124" s="13">
        <f>H123+G123+PARAMETERS!$B$14</f>
        <v>1838.6287175276734</v>
      </c>
      <c r="I124" s="4">
        <f>PARAMETERS!$B$9*H124</f>
        <v>4.026194271958409</v>
      </c>
      <c r="J124" s="141">
        <f>MAX(1/D124,1/D124+PARAMETERS!$B$10*(I124-PARAMETERS!$B$11))</f>
        <v>4.1251979024222035E-2</v>
      </c>
      <c r="K124" s="4">
        <f>MAX(0,ADAPTATION!K123-PARAMETERS!$B$17*(PARAMETERS!$B$16-ADAPTATION!L123))</f>
        <v>0</v>
      </c>
      <c r="L124" s="4">
        <f>PARAMETERS!$B$4/ADAPTATION!J124</f>
        <v>1.8180945926488048</v>
      </c>
      <c r="O124" s="10"/>
      <c r="Q124" s="135"/>
    </row>
    <row r="125" spans="1:23" s="6" customFormat="1" ht="20.25" customHeight="1" x14ac:dyDescent="0.35">
      <c r="A125" s="1">
        <f t="shared" si="8"/>
        <v>2100</v>
      </c>
      <c r="B125" s="13">
        <f t="shared" si="9"/>
        <v>1308.8022122632465</v>
      </c>
      <c r="C125" s="13">
        <f t="shared" si="6"/>
        <v>3024.6304382174562</v>
      </c>
      <c r="D125" s="4">
        <f>(4/PARAMETERS!$B$6)*C125/B125</f>
        <v>308.13216439450781</v>
      </c>
      <c r="E125" s="10">
        <f>PARAMETERS!$B$4*B125</f>
        <v>98.160165919743477</v>
      </c>
      <c r="F125" s="4">
        <f t="shared" si="7"/>
        <v>-4.1251979024222139E-2</v>
      </c>
      <c r="G125" s="28">
        <f>PARAMETERS!$B$7*E125^PARAMETERS!$B$8</f>
        <v>10.389819294581775</v>
      </c>
      <c r="H125" s="13">
        <f>H124+G124+PARAMETERS!$B$14</f>
        <v>1850.7546145934691</v>
      </c>
      <c r="I125" s="4">
        <f>PARAMETERS!$B$9*H125</f>
        <v>4.0527473312265752</v>
      </c>
      <c r="J125" s="141">
        <f>MAX(1/D125,1/D125+PARAMETERS!$B$10*(I125-PARAMETERS!$B$11))</f>
        <v>4.1536570614097656E-2</v>
      </c>
      <c r="K125" s="4">
        <f>MAX(0,ADAPTATION!K124-PARAMETERS!$B$17*(PARAMETERS!$B$16-ADAPTATION!L124))</f>
        <v>0</v>
      </c>
      <c r="L125" s="4">
        <f>PARAMETERS!$B$4/ADAPTATION!J125</f>
        <v>1.8056377522545093</v>
      </c>
      <c r="M125" s="53"/>
      <c r="O125" s="10"/>
      <c r="P125" s="1"/>
      <c r="Q125" s="135"/>
      <c r="R125" s="1"/>
      <c r="S125" s="1"/>
      <c r="T125" s="1"/>
    </row>
    <row r="126" spans="1:23" ht="20.149999999999999" customHeight="1" x14ac:dyDescent="0.35"/>
    <row r="127" spans="1:23" ht="20.149999999999999" customHeight="1" x14ac:dyDescent="0.35"/>
    <row r="128" spans="1:23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  <row r="149" ht="20.149999999999999" customHeight="1" x14ac:dyDescent="0.35"/>
    <row r="150" ht="20.149999999999999" customHeight="1" x14ac:dyDescent="0.35"/>
    <row r="151" ht="20.149999999999999" customHeight="1" x14ac:dyDescent="0.35"/>
    <row r="152" ht="20.149999999999999" customHeight="1" x14ac:dyDescent="0.35"/>
    <row r="153" ht="20.149999999999999" customHeight="1" x14ac:dyDescent="0.35"/>
    <row r="154" ht="20.149999999999999" customHeight="1" x14ac:dyDescent="0.35"/>
    <row r="155" ht="20.149999999999999" customHeight="1" x14ac:dyDescent="0.35"/>
    <row r="156" ht="20.149999999999999" customHeight="1" x14ac:dyDescent="0.35"/>
    <row r="157" ht="20.149999999999999" customHeight="1" x14ac:dyDescent="0.35"/>
    <row r="158" ht="20.149999999999999" customHeight="1" x14ac:dyDescent="0.35"/>
    <row r="159" ht="20.149999999999999" customHeight="1" x14ac:dyDescent="0.35"/>
    <row r="160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spans="15:20" ht="20.149999999999999" customHeight="1" x14ac:dyDescent="0.35"/>
    <row r="178" spans="15:20" ht="20.149999999999999" customHeight="1" x14ac:dyDescent="0.35"/>
    <row r="179" spans="15:20" ht="20.149999999999999" customHeight="1" x14ac:dyDescent="0.35"/>
    <row r="180" spans="15:20" ht="20.149999999999999" customHeight="1" x14ac:dyDescent="0.35"/>
    <row r="181" spans="15:20" ht="20.149999999999999" customHeight="1" x14ac:dyDescent="0.35"/>
    <row r="182" spans="15:20" ht="20.149999999999999" customHeight="1" x14ac:dyDescent="0.35"/>
    <row r="183" spans="15:20" ht="20.149999999999999" customHeight="1" x14ac:dyDescent="0.35"/>
    <row r="184" spans="15:20" ht="20.149999999999999" customHeight="1" x14ac:dyDescent="0.35"/>
    <row r="185" spans="15:20" ht="20.149999999999999" customHeight="1" x14ac:dyDescent="0.35"/>
    <row r="186" spans="15:20" ht="20.149999999999999" customHeight="1" x14ac:dyDescent="0.35"/>
    <row r="187" spans="15:20" ht="20.149999999999999" customHeight="1" x14ac:dyDescent="0.35"/>
    <row r="188" spans="15:20" ht="20.149999999999999" customHeight="1" x14ac:dyDescent="0.35">
      <c r="O188" s="6"/>
      <c r="P188" s="6"/>
      <c r="Q188" s="12"/>
      <c r="R188" s="6"/>
      <c r="S188" s="6"/>
      <c r="T188" s="6"/>
    </row>
    <row r="189" spans="15:20" ht="20.149999999999999" customHeight="1" x14ac:dyDescent="0.35">
      <c r="O189" s="6"/>
      <c r="P189" s="6"/>
      <c r="Q189" s="12"/>
      <c r="R189" s="6"/>
      <c r="S189" s="6"/>
      <c r="T189" s="6"/>
    </row>
    <row r="190" spans="15:20" ht="20.149999999999999" customHeight="1" x14ac:dyDescent="0.35"/>
    <row r="191" spans="15:20" ht="20.149999999999999" customHeight="1" x14ac:dyDescent="0.35"/>
    <row r="192" spans="15:20" ht="20.149999999999999" customHeight="1" x14ac:dyDescent="0.35"/>
    <row r="193" spans="2:20" ht="20.149999999999999" customHeight="1" x14ac:dyDescent="0.35"/>
    <row r="194" spans="2:20" ht="20.149999999999999" customHeight="1" x14ac:dyDescent="0.35"/>
    <row r="195" spans="2:20" ht="20.149999999999999" customHeight="1" x14ac:dyDescent="0.35"/>
    <row r="196" spans="2:20" ht="20.149999999999999" customHeight="1" x14ac:dyDescent="0.35"/>
    <row r="197" spans="2:20" ht="20.149999999999999" customHeight="1" x14ac:dyDescent="0.35"/>
    <row r="198" spans="2:20" ht="20.149999999999999" customHeight="1" x14ac:dyDescent="0.35"/>
    <row r="199" spans="2:20" ht="20.149999999999999" customHeight="1" x14ac:dyDescent="0.35"/>
    <row r="200" spans="2:20" ht="20.149999999999999" customHeight="1" x14ac:dyDescent="0.35"/>
    <row r="201" spans="2:20" ht="20.149999999999999" customHeight="1" x14ac:dyDescent="0.35"/>
    <row r="202" spans="2:20" ht="20.149999999999999" customHeight="1" x14ac:dyDescent="0.35"/>
    <row r="203" spans="2:20" ht="20.149999999999999" customHeight="1" x14ac:dyDescent="0.35"/>
    <row r="204" spans="2:20" s="6" customFormat="1" ht="20.149999999999999" customHeight="1" x14ac:dyDescent="0.35">
      <c r="B204" s="23"/>
      <c r="C204" s="23"/>
      <c r="D204" s="112"/>
      <c r="E204" s="10"/>
      <c r="F204" s="4"/>
      <c r="G204" s="28"/>
      <c r="H204" s="13"/>
      <c r="I204" s="4"/>
      <c r="J204" s="141"/>
      <c r="K204" s="4"/>
      <c r="L204" s="4"/>
      <c r="M204" s="53"/>
      <c r="O204" s="1"/>
      <c r="P204" s="1"/>
      <c r="Q204" s="5"/>
      <c r="R204" s="1"/>
      <c r="S204" s="1"/>
      <c r="T204" s="1"/>
    </row>
    <row r="205" spans="2:20" s="6" customFormat="1" ht="20.149999999999999" customHeight="1" x14ac:dyDescent="0.35">
      <c r="B205" s="23"/>
      <c r="C205" s="23"/>
      <c r="D205" s="112"/>
      <c r="E205" s="10"/>
      <c r="F205" s="4"/>
      <c r="G205" s="28"/>
      <c r="H205" s="13"/>
      <c r="I205" s="4"/>
      <c r="J205" s="141"/>
      <c r="K205" s="4"/>
      <c r="L205" s="4"/>
      <c r="M205" s="53"/>
      <c r="O205" s="1"/>
      <c r="P205" s="1"/>
      <c r="Q205" s="5"/>
      <c r="R205" s="1"/>
      <c r="S205" s="1"/>
      <c r="T205" s="1"/>
    </row>
    <row r="206" spans="2:20" ht="20.149999999999999" customHeight="1" x14ac:dyDescent="0.35"/>
    <row r="207" spans="2:20" ht="20.149999999999999" customHeight="1" x14ac:dyDescent="0.35"/>
    <row r="208" spans="2:20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97C3-8998-4C14-8339-4B0D8C37EF4E}">
  <dimension ref="A1:AA356"/>
  <sheetViews>
    <sheetView topLeftCell="L1" zoomScale="80" zoomScaleNormal="80" workbookViewId="0">
      <pane ySplit="5" topLeftCell="A109" activePane="bottomLeft" state="frozen"/>
      <selection pane="bottomLeft" activeCell="W2" sqref="W2"/>
    </sheetView>
  </sheetViews>
  <sheetFormatPr defaultColWidth="9.1796875" defaultRowHeight="14.5" x14ac:dyDescent="0.35"/>
  <cols>
    <col min="1" max="1" width="15.7265625" style="1" customWidth="1"/>
    <col min="2" max="2" width="1.81640625" style="39" customWidth="1"/>
    <col min="3" max="3" width="15.7265625" style="13" customWidth="1"/>
    <col min="4" max="5" width="15.7265625" style="4" customWidth="1"/>
    <col min="6" max="6" width="1.81640625" style="137" customWidth="1"/>
    <col min="7" max="9" width="15.7265625" style="141" customWidth="1"/>
    <col min="10" max="10" width="1.81640625" style="47" customWidth="1"/>
    <col min="11" max="12" width="15.54296875" style="141" customWidth="1"/>
    <col min="13" max="13" width="15.7265625" style="28" customWidth="1"/>
    <col min="14" max="14" width="15.7265625" style="13" customWidth="1"/>
    <col min="15" max="17" width="15.7265625" style="4" customWidth="1"/>
    <col min="18" max="18" width="1.453125" style="53" customWidth="1"/>
    <col min="19" max="19" width="17.26953125" style="23" customWidth="1"/>
    <col min="20" max="20" width="13.453125" style="1" customWidth="1"/>
    <col min="21" max="21" width="18" style="5" customWidth="1"/>
    <col min="22" max="22" width="10.54296875" style="1" customWidth="1"/>
    <col min="23" max="23" width="9" style="1" customWidth="1"/>
    <col min="24" max="24" width="9.54296875" style="1" customWidth="1"/>
    <col min="25" max="16384" width="9.1796875" style="1"/>
  </cols>
  <sheetData>
    <row r="1" spans="1:24" ht="20.149999999999999" customHeight="1" x14ac:dyDescent="0.35">
      <c r="A1" s="160" t="s">
        <v>124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52"/>
    </row>
    <row r="2" spans="1:24" ht="20.149999999999999" customHeight="1" x14ac:dyDescent="0.35">
      <c r="A2" s="160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52"/>
    </row>
    <row r="3" spans="1:24" ht="20.149999999999999" customHeight="1" x14ac:dyDescent="0.35">
      <c r="A3" s="120"/>
      <c r="B3" s="83"/>
      <c r="C3" s="161" t="s">
        <v>128</v>
      </c>
      <c r="D3" s="161"/>
      <c r="E3" s="161"/>
      <c r="F3" s="83"/>
      <c r="G3" s="161" t="s">
        <v>129</v>
      </c>
      <c r="H3" s="161"/>
      <c r="I3" s="161"/>
      <c r="J3" s="83"/>
      <c r="K3" s="161" t="s">
        <v>19</v>
      </c>
      <c r="L3" s="161"/>
      <c r="M3" s="161"/>
      <c r="N3" s="161"/>
      <c r="O3" s="161"/>
      <c r="P3" s="161"/>
      <c r="Q3" s="52"/>
    </row>
    <row r="4" spans="1:24" s="7" customFormat="1" ht="48" customHeight="1" x14ac:dyDescent="0.35">
      <c r="A4" s="16" t="s">
        <v>9</v>
      </c>
      <c r="B4" s="40"/>
      <c r="C4" s="24" t="s">
        <v>161</v>
      </c>
      <c r="D4" s="17" t="s">
        <v>125</v>
      </c>
      <c r="E4" s="17" t="s">
        <v>127</v>
      </c>
      <c r="F4" s="147"/>
      <c r="G4" s="24" t="s">
        <v>162</v>
      </c>
      <c r="H4" s="24" t="s">
        <v>117</v>
      </c>
      <c r="I4" s="17" t="s">
        <v>127</v>
      </c>
      <c r="J4" s="147"/>
      <c r="K4" s="24" t="s">
        <v>13</v>
      </c>
      <c r="L4" s="24" t="s">
        <v>127</v>
      </c>
      <c r="M4" s="29" t="s">
        <v>66</v>
      </c>
      <c r="N4" s="27" t="s">
        <v>11</v>
      </c>
      <c r="O4" s="17" t="s">
        <v>113</v>
      </c>
      <c r="P4" s="17" t="s">
        <v>39</v>
      </c>
      <c r="Q4" s="17" t="s">
        <v>143</v>
      </c>
      <c r="R4" s="54"/>
      <c r="S4" s="109" t="s">
        <v>144</v>
      </c>
      <c r="T4" s="21" t="s">
        <v>20</v>
      </c>
      <c r="U4" s="3" t="s">
        <v>168</v>
      </c>
      <c r="V4" s="3"/>
      <c r="W4" s="31"/>
      <c r="X4" s="31"/>
    </row>
    <row r="5" spans="1:24" ht="20.149999999999999" customHeight="1" x14ac:dyDescent="0.35">
      <c r="A5" s="21"/>
      <c r="B5" s="41"/>
      <c r="C5" s="25" t="s">
        <v>159</v>
      </c>
      <c r="D5" s="22" t="s">
        <v>111</v>
      </c>
      <c r="E5" s="22" t="s">
        <v>45</v>
      </c>
      <c r="F5" s="97"/>
      <c r="G5" s="25" t="s">
        <v>160</v>
      </c>
      <c r="H5" s="25" t="s">
        <v>126</v>
      </c>
      <c r="I5" s="22" t="s">
        <v>45</v>
      </c>
      <c r="J5" s="97"/>
      <c r="K5" s="25" t="s">
        <v>32</v>
      </c>
      <c r="L5" s="25" t="s">
        <v>45</v>
      </c>
      <c r="M5" s="30" t="s">
        <v>14</v>
      </c>
      <c r="N5" s="25" t="s">
        <v>46</v>
      </c>
      <c r="O5" s="22" t="s">
        <v>35</v>
      </c>
      <c r="P5" s="22" t="s">
        <v>24</v>
      </c>
      <c r="Q5" s="22"/>
      <c r="S5" s="110" t="s">
        <v>126</v>
      </c>
      <c r="T5" s="21" t="s">
        <v>45</v>
      </c>
      <c r="V5" s="3"/>
      <c r="X5" s="31"/>
    </row>
    <row r="6" spans="1:24" ht="20.149999999999999" customHeight="1" x14ac:dyDescent="0.35">
      <c r="A6" s="1">
        <v>1980</v>
      </c>
      <c r="C6" s="13">
        <f>PARAMETERS!$B$12*PARAMETERS!B24</f>
        <v>71.25</v>
      </c>
      <c r="D6" s="4">
        <f>PARAMETERS!$B$19*C6^PARAMETERS!$B$20</f>
        <v>8.1743266812800766E-2</v>
      </c>
      <c r="G6" s="13">
        <f>PARAMETERS!$B$12*(1-PARAMETERS!B24)</f>
        <v>303.75</v>
      </c>
      <c r="H6" s="141">
        <f>PARAMETERS!$B$22*G6^(1-PARAMETERS!$B$20)</f>
        <v>288.80563051722464</v>
      </c>
      <c r="K6" s="141">
        <f>PARAMETERS!$B$18*D6*H6</f>
        <v>27.951772203491839</v>
      </c>
      <c r="M6" s="28">
        <f>PARAMETERS!$B$21*EFFICIENCY!H6</f>
        <v>5.2037050543644083</v>
      </c>
      <c r="N6" s="13">
        <f>PARAMETERS!B13</f>
        <v>283.517</v>
      </c>
      <c r="O6" s="4">
        <f>PARAMETERS!$B$9*N6</f>
        <v>0.62084014598540149</v>
      </c>
      <c r="P6" s="4">
        <f>MAX(PARAMETERS!$B$6,PARAMETERS!$B$6+PARAMETERS!$B$10*(O6-PARAMETERS!$B$11))</f>
        <v>0.03</v>
      </c>
      <c r="Q6" s="4">
        <f t="shared" ref="Q6:Q46" si="0">K6/(C6+G6)/P6</f>
        <v>2.484601973643719</v>
      </c>
      <c r="S6" s="23">
        <v>288.80563051722464</v>
      </c>
      <c r="T6" s="4">
        <f>K6/(C6+G6)</f>
        <v>7.4538059209311572E-2</v>
      </c>
      <c r="U6" s="148">
        <f t="shared" ref="U6:U69" si="1">C6+G6</f>
        <v>375</v>
      </c>
    </row>
    <row r="7" spans="1:24" ht="20.149999999999999" customHeight="1" x14ac:dyDescent="0.35">
      <c r="A7" s="1">
        <f t="shared" ref="A7:A45" si="2">A6+1</f>
        <v>1981</v>
      </c>
      <c r="C7" s="13">
        <f>C6+PARAMETERS!$B$5*PARAMETERS!$B$24*K6-P6*C6</f>
        <v>73.361169374930753</v>
      </c>
      <c r="D7" s="4">
        <f>PARAMETERS!$B$19*C7^PARAMETERS!$B$20</f>
        <v>8.2784161298536565E-2</v>
      </c>
      <c r="E7" s="4">
        <f>(D7-D6)/D6</f>
        <v>1.27337030476105E-2</v>
      </c>
      <c r="G7" s="141">
        <f>G6+PARAMETERS!$B$5*(1-PARAMETERS!$B$24)*K6-P6*G6</f>
        <v>312.75024838786271</v>
      </c>
      <c r="H7" s="141">
        <f>PARAMETERS!$B$22*G7^(1-PARAMETERS!$B$20)</f>
        <v>293.62414784541699</v>
      </c>
      <c r="I7" s="141">
        <f>(H7-H6)/H6</f>
        <v>1.668429150623835E-2</v>
      </c>
      <c r="K7" s="141">
        <f>PARAMETERS!$B$18*D7*H7</f>
        <v>28.779995718594332</v>
      </c>
      <c r="L7" s="141">
        <f t="shared" ref="L7:L46" si="3">(K7-K6)/K6</f>
        <v>2.9630447367449166E-2</v>
      </c>
      <c r="M7" s="28">
        <f>PARAMETERS!$B$21*EFFICIENCY!H7</f>
        <v>5.2905251864039098</v>
      </c>
      <c r="N7" s="13">
        <f>N6+M6+PARAMETERS!$B$14</f>
        <v>290.22070505436443</v>
      </c>
      <c r="O7" s="4">
        <f>PARAMETERS!$B$9*N7</f>
        <v>0.63551979208984921</v>
      </c>
      <c r="P7" s="4">
        <f>MAX(PARAMETERS!$B$6,PARAMETERS!$B$6+PARAMETERS!$B$10*(O7-PARAMETERS!$B$11))</f>
        <v>0.03</v>
      </c>
      <c r="Q7" s="4">
        <f t="shared" si="0"/>
        <v>2.484601973643719</v>
      </c>
      <c r="S7" s="23">
        <v>293.62414784541699</v>
      </c>
      <c r="T7" s="4">
        <f t="shared" ref="T7:T70" si="4">K7/(C7+G7)</f>
        <v>7.4538059209311572E-2</v>
      </c>
      <c r="U7" s="148">
        <f t="shared" si="1"/>
        <v>386.11141776279345</v>
      </c>
    </row>
    <row r="8" spans="1:24" ht="20.149999999999999" customHeight="1" x14ac:dyDescent="0.35">
      <c r="A8" s="1">
        <f t="shared" si="2"/>
        <v>1982</v>
      </c>
      <c r="C8" s="13">
        <f>C7+PARAMETERS!$B$5*PARAMETERS!$B$24*K7-P7*C7</f>
        <v>75.534893642909182</v>
      </c>
      <c r="D8" s="4">
        <f>PARAMETERS!$B$19*C8^PARAMETERS!$B$20</f>
        <v>8.3838310225557613E-2</v>
      </c>
      <c r="E8" s="4">
        <f t="shared" ref="E8:E46" si="5">(D8-D7)/D7</f>
        <v>1.2733703047610425E-2</v>
      </c>
      <c r="G8" s="141">
        <f>G7+PARAMETERS!$B$5*(1-PARAMETERS!$B$24)*K7-P7*G7</f>
        <v>322.01717816187596</v>
      </c>
      <c r="H8" s="141">
        <f>PARAMETERS!$B$22*G8^(1-PARAMETERS!$B$20)</f>
        <v>298.52305872134099</v>
      </c>
      <c r="I8" s="141">
        <f t="shared" ref="I8:I46" si="6">(H8-H7)/H7</f>
        <v>1.6684291506239162E-2</v>
      </c>
      <c r="K8" s="141">
        <f>PARAMETERS!$B$18*D8*H8</f>
        <v>29.632759866969572</v>
      </c>
      <c r="L8" s="141">
        <f t="shared" si="3"/>
        <v>2.9630447367449794E-2</v>
      </c>
      <c r="M8" s="28">
        <f>PARAMETERS!$B$21*EFFICIENCY!H8</f>
        <v>5.3787938508349731</v>
      </c>
      <c r="N8" s="13">
        <f>N7+M7+PARAMETERS!$B$14</f>
        <v>297.01123024076833</v>
      </c>
      <c r="O8" s="4">
        <f>PARAMETERS!$B$9*N8</f>
        <v>0.65038955527175557</v>
      </c>
      <c r="P8" s="4">
        <f>MAX(PARAMETERS!$B$6,PARAMETERS!$B$6+PARAMETERS!$B$10*(O8-PARAMETERS!$B$11))</f>
        <v>0.03</v>
      </c>
      <c r="Q8" s="4">
        <f t="shared" si="0"/>
        <v>2.4846019736437199</v>
      </c>
      <c r="S8" s="23">
        <v>298.52305872134099</v>
      </c>
      <c r="T8" s="4">
        <f t="shared" si="4"/>
        <v>7.45380592093116E-2</v>
      </c>
      <c r="U8" s="148">
        <f t="shared" si="1"/>
        <v>397.55207180478516</v>
      </c>
    </row>
    <row r="9" spans="1:24" ht="20.149999999999999" customHeight="1" x14ac:dyDescent="0.35">
      <c r="A9" s="1">
        <f t="shared" si="2"/>
        <v>1983</v>
      </c>
      <c r="C9" s="13">
        <f>C8+PARAMETERS!$B$5*PARAMETERS!$B$24*K8-P8*C8</f>
        <v>77.773026333401276</v>
      </c>
      <c r="D9" s="4">
        <f>PARAMETERS!$B$19*C9^PARAMETERS!$B$20</f>
        <v>8.4905882371983349E-2</v>
      </c>
      <c r="E9" s="4">
        <f t="shared" si="5"/>
        <v>1.2733703047610952E-2</v>
      </c>
      <c r="G9" s="141">
        <f>G8+PARAMETERS!$B$5*(1-PARAMETERS!$B$24)*K8-P8*G8</f>
        <v>331.55869121081599</v>
      </c>
      <c r="H9" s="141">
        <f>PARAMETERS!$B$22*G9^(1-PARAMETERS!$B$20)</f>
        <v>303.50370445438176</v>
      </c>
      <c r="I9" s="141">
        <f t="shared" si="6"/>
        <v>1.6684291506238392E-2</v>
      </c>
      <c r="K9" s="141">
        <f>PARAMETERS!$B$18*D9*H9</f>
        <v>30.510791798560081</v>
      </c>
      <c r="L9" s="141">
        <f t="shared" si="3"/>
        <v>2.9630447367449429E-2</v>
      </c>
      <c r="M9" s="28">
        <f>PARAMETERS!$B$21*EFFICIENCY!H9</f>
        <v>5.4685352153942661</v>
      </c>
      <c r="N9" s="13">
        <f>N8+M8+PARAMETERS!$B$14</f>
        <v>303.89002409160332</v>
      </c>
      <c r="O9" s="4">
        <f>PARAMETERS!$B$9*N9</f>
        <v>0.66545260749986135</v>
      </c>
      <c r="P9" s="4">
        <f>MAX(PARAMETERS!$B$6,PARAMETERS!$B$6+PARAMETERS!$B$10*(O9-PARAMETERS!$B$11))</f>
        <v>0.03</v>
      </c>
      <c r="Q9" s="4">
        <f t="shared" si="0"/>
        <v>2.4846019736437204</v>
      </c>
      <c r="S9" s="23">
        <v>303.50370445438176</v>
      </c>
      <c r="T9" s="4">
        <f t="shared" si="4"/>
        <v>7.4538059209311613E-2</v>
      </c>
      <c r="U9" s="148">
        <f t="shared" si="1"/>
        <v>409.33171754421727</v>
      </c>
    </row>
    <row r="10" spans="1:24" ht="20.149999999999999" customHeight="1" x14ac:dyDescent="0.35">
      <c r="A10" s="1">
        <f t="shared" si="2"/>
        <v>1984</v>
      </c>
      <c r="C10" s="13">
        <f>C9+PARAMETERS!$B$5*PARAMETERS!$B$24*K9-P9*C9</f>
        <v>80.077475896780371</v>
      </c>
      <c r="D10" s="4">
        <f>PARAMETERS!$B$19*C10^PARAMETERS!$B$20</f>
        <v>8.598704866510351E-2</v>
      </c>
      <c r="E10" s="4">
        <f t="shared" si="5"/>
        <v>1.2733703047610248E-2</v>
      </c>
      <c r="G10" s="141">
        <f>G9+PARAMETERS!$B$5*(1-PARAMETERS!$B$24)*K9-P9*G9</f>
        <v>341.38292355995844</v>
      </c>
      <c r="H10" s="141">
        <f>PARAMETERS!$B$22*G10^(1-PARAMETERS!$B$20)</f>
        <v>308.56744873272186</v>
      </c>
      <c r="I10" s="141">
        <f t="shared" si="6"/>
        <v>1.6684291506238284E-2</v>
      </c>
      <c r="K10" s="141">
        <f>PARAMETERS!$B$18*D10*H10</f>
        <v>31.414840209086506</v>
      </c>
      <c r="L10" s="141">
        <f t="shared" si="3"/>
        <v>2.963044736744886E-2</v>
      </c>
      <c r="M10" s="28">
        <f>PARAMETERS!$B$21*EFFICIENCY!H10</f>
        <v>5.5597738510400339</v>
      </c>
      <c r="N10" s="13">
        <f>N9+M9+PARAMETERS!$B$14</f>
        <v>310.85855930699756</v>
      </c>
      <c r="O10" s="4">
        <f>PARAMETERS!$B$9*N10</f>
        <v>0.68071217366495818</v>
      </c>
      <c r="P10" s="4">
        <f>MAX(PARAMETERS!$B$6,PARAMETERS!$B$6+PARAMETERS!$B$10*(O10-PARAMETERS!$B$11))</f>
        <v>0.03</v>
      </c>
      <c r="Q10" s="4">
        <f t="shared" si="0"/>
        <v>2.4846019736437195</v>
      </c>
      <c r="S10" s="23">
        <v>308.56744873272186</v>
      </c>
      <c r="T10" s="4">
        <f t="shared" si="4"/>
        <v>7.4538059209311586E-2</v>
      </c>
      <c r="U10" s="148">
        <f t="shared" si="1"/>
        <v>421.4603994567388</v>
      </c>
    </row>
    <row r="11" spans="1:24" ht="20.149999999999999" customHeight="1" x14ac:dyDescent="0.35">
      <c r="A11" s="1">
        <f t="shared" si="2"/>
        <v>1985</v>
      </c>
      <c r="C11" s="13">
        <f>C10+PARAMETERS!$B$5*PARAMETERS!$B$24*K10-P10*C10</f>
        <v>82.450207331658106</v>
      </c>
      <c r="D11" s="4">
        <f>PARAMETERS!$B$19*C11^PARAMETERS!$B$20</f>
        <v>8.7081982208745384E-2</v>
      </c>
      <c r="E11" s="4">
        <f t="shared" si="5"/>
        <v>1.2733703047610651E-2</v>
      </c>
      <c r="G11" s="141">
        <f>G10+PARAMETERS!$B$5*(1-PARAMETERS!$B$24)*K10-P10*G10</f>
        <v>351.49825230864775</v>
      </c>
      <c r="H11" s="141">
        <f>PARAMETERS!$B$22*G11^(1-PARAMETERS!$B$20)</f>
        <v>313.71567799671487</v>
      </c>
      <c r="I11" s="141">
        <f t="shared" si="6"/>
        <v>1.668429150623844E-2</v>
      </c>
      <c r="K11" s="141">
        <f>PARAMETERS!$B$18*D11*H11</f>
        <v>32.345675978458672</v>
      </c>
      <c r="L11" s="141">
        <f t="shared" si="3"/>
        <v>2.9630447367449249E-2</v>
      </c>
      <c r="M11" s="28">
        <f>PARAMETERS!$B$21*EFFICIENCY!H11</f>
        <v>5.652534738679547</v>
      </c>
      <c r="N11" s="13">
        <f>N10+M10+PARAMETERS!$B$14</f>
        <v>317.91833315803757</v>
      </c>
      <c r="O11" s="4">
        <f>PARAMETERS!$B$9*N11</f>
        <v>0.69617153246285601</v>
      </c>
      <c r="P11" s="4">
        <f>MAX(PARAMETERS!$B$6,PARAMETERS!$B$6+PARAMETERS!$B$10*(O11-PARAMETERS!$B$11))</f>
        <v>0.03</v>
      </c>
      <c r="Q11" s="4">
        <f t="shared" si="0"/>
        <v>2.4846019736437195</v>
      </c>
      <c r="S11" s="23">
        <v>313.71567799671487</v>
      </c>
      <c r="T11" s="4">
        <f t="shared" si="4"/>
        <v>7.4538059209311586E-2</v>
      </c>
      <c r="U11" s="148">
        <f t="shared" si="1"/>
        <v>433.94845964030583</v>
      </c>
    </row>
    <row r="12" spans="1:24" ht="20.149999999999999" customHeight="1" x14ac:dyDescent="0.35">
      <c r="A12" s="1">
        <f t="shared" si="2"/>
        <v>1986</v>
      </c>
      <c r="C12" s="13">
        <f>C11+PARAMETERS!$B$5*PARAMETERS!$B$24*K11-P11*C11</f>
        <v>84.893243860434083</v>
      </c>
      <c r="D12" s="4">
        <f>PARAMETERS!$B$19*C12^PARAMETERS!$B$20</f>
        <v>8.8190858310988857E-2</v>
      </c>
      <c r="E12" s="4">
        <f t="shared" si="5"/>
        <v>1.273370304761059E-2</v>
      </c>
      <c r="G12" s="141">
        <f>G11+PARAMETERS!$B$5*(1-PARAMETERS!$B$24)*K11-P11*G11</f>
        <v>361.91330277342956</v>
      </c>
      <c r="H12" s="141">
        <f>PARAMETERS!$B$22*G12^(1-PARAMETERS!$B$20)</f>
        <v>318.94980181848939</v>
      </c>
      <c r="I12" s="141">
        <f t="shared" si="6"/>
        <v>1.6684291506238739E-2</v>
      </c>
      <c r="K12" s="141">
        <f>PARAMETERS!$B$18*D12*H12</f>
        <v>33.304092828102974</v>
      </c>
      <c r="L12" s="141">
        <f t="shared" si="3"/>
        <v>2.9630447367449686E-2</v>
      </c>
      <c r="M12" s="28">
        <f>PARAMETERS!$B$21*EFFICIENCY!H12</f>
        <v>5.7468432760088177</v>
      </c>
      <c r="N12" s="13">
        <f>N11+M11+PARAMETERS!$B$14</f>
        <v>325.07086789671712</v>
      </c>
      <c r="O12" s="4">
        <f>PARAMETERS!$B$9*N12</f>
        <v>0.71183401729208129</v>
      </c>
      <c r="P12" s="4">
        <f>MAX(PARAMETERS!$B$6,PARAMETERS!$B$6+PARAMETERS!$B$10*(O12-PARAMETERS!$B$11))</f>
        <v>0.03</v>
      </c>
      <c r="Q12" s="4">
        <f t="shared" si="0"/>
        <v>2.4846019736437199</v>
      </c>
      <c r="S12" s="23">
        <v>318.94980181848939</v>
      </c>
      <c r="T12" s="4">
        <f t="shared" si="4"/>
        <v>7.45380592093116E-2</v>
      </c>
      <c r="U12" s="148">
        <f t="shared" si="1"/>
        <v>446.80654663386366</v>
      </c>
    </row>
    <row r="13" spans="1:24" ht="20.149999999999999" customHeight="1" x14ac:dyDescent="0.35">
      <c r="A13" s="1">
        <f t="shared" si="2"/>
        <v>1987</v>
      </c>
      <c r="C13" s="13">
        <f>C12+PARAMETERS!$B$5*PARAMETERS!$B$24*K12-P12*C12</f>
        <v>87.408668654492715</v>
      </c>
      <c r="D13" s="4">
        <f>PARAMETERS!$B$19*C13^PARAMETERS!$B$20</f>
        <v>8.9313854512234878E-2</v>
      </c>
      <c r="E13" s="4">
        <f t="shared" si="5"/>
        <v>1.2733703047610458E-2</v>
      </c>
      <c r="G13" s="141">
        <f>G12+PARAMETERS!$B$5*(1-PARAMETERS!$B$24)*K12-P12*G12</f>
        <v>372.63695584283738</v>
      </c>
      <c r="H13" s="141">
        <f>PARAMETERS!$B$22*G13^(1-PARAMETERS!$B$20)</f>
        <v>324.27125328788605</v>
      </c>
      <c r="I13" s="141">
        <f t="shared" si="6"/>
        <v>1.6684291506238461E-2</v>
      </c>
      <c r="K13" s="141">
        <f>PARAMETERS!$B$18*D13*H13</f>
        <v>34.290907997766716</v>
      </c>
      <c r="L13" s="141">
        <f t="shared" si="3"/>
        <v>2.9630447367449051E-2</v>
      </c>
      <c r="M13" s="28">
        <f>PARAMETERS!$B$21*EFFICIENCY!H13</f>
        <v>5.8427252844664155</v>
      </c>
      <c r="N13" s="13">
        <f>N12+M12+PARAMETERS!$B$14</f>
        <v>332.31771117272592</v>
      </c>
      <c r="O13" s="4">
        <f>PARAMETERS!$B$9*N13</f>
        <v>0.72770301716655317</v>
      </c>
      <c r="P13" s="4">
        <f>MAX(PARAMETERS!$B$6,PARAMETERS!$B$6+PARAMETERS!$B$10*(O13-PARAMETERS!$B$11))</f>
        <v>0.03</v>
      </c>
      <c r="Q13" s="4">
        <f t="shared" si="0"/>
        <v>2.4846019736437195</v>
      </c>
      <c r="S13" s="23">
        <v>324.27125328788605</v>
      </c>
      <c r="T13" s="4">
        <f t="shared" si="4"/>
        <v>7.4538059209311586E-2</v>
      </c>
      <c r="U13" s="148">
        <f t="shared" si="1"/>
        <v>460.0456244973301</v>
      </c>
    </row>
    <row r="14" spans="1:24" ht="20.149999999999999" customHeight="1" x14ac:dyDescent="0.35">
      <c r="A14" s="1">
        <f t="shared" si="2"/>
        <v>1988</v>
      </c>
      <c r="C14" s="13">
        <f>C13+PARAMETERS!$B$5*PARAMETERS!$B$24*K13-P13*C13</f>
        <v>89.998626610518471</v>
      </c>
      <c r="D14" s="4">
        <f>PARAMETERS!$B$19*C14^PARAMETERS!$B$20</f>
        <v>9.0451150613631209E-2</v>
      </c>
      <c r="E14" s="4">
        <f t="shared" si="5"/>
        <v>1.2733703047611011E-2</v>
      </c>
      <c r="G14" s="141">
        <f>G13+PARAMETERS!$B$5*(1-PARAMETERS!$B$24)*K13-P13*G13</f>
        <v>383.6783555501051</v>
      </c>
      <c r="H14" s="141">
        <f>PARAMETERS!$B$22*G14^(1-PARAMETERS!$B$20)</f>
        <v>329.68148940483439</v>
      </c>
      <c r="I14" s="141">
        <f t="shared" si="6"/>
        <v>1.6684291506238343E-2</v>
      </c>
      <c r="K14" s="141">
        <f>PARAMETERS!$B$18*D14*H14</f>
        <v>35.306962942376593</v>
      </c>
      <c r="L14" s="141">
        <f t="shared" si="3"/>
        <v>2.9630447367449419E-2</v>
      </c>
      <c r="M14" s="28">
        <f>PARAMETERS!$B$21*EFFICIENCY!H14</f>
        <v>5.9402070163033223</v>
      </c>
      <c r="N14" s="13">
        <f>N13+M13+PARAMETERS!$B$14</f>
        <v>339.66043645719236</v>
      </c>
      <c r="O14" s="4">
        <f>PARAMETERS!$B$9*N14</f>
        <v>0.74378197764348697</v>
      </c>
      <c r="P14" s="4">
        <f>MAX(PARAMETERS!$B$6,PARAMETERS!$B$6+PARAMETERS!$B$10*(O14-PARAMETERS!$B$11))</f>
        <v>0.03</v>
      </c>
      <c r="Q14" s="4">
        <f t="shared" si="0"/>
        <v>2.4846019736437199</v>
      </c>
      <c r="S14" s="23">
        <v>329.68148940483439</v>
      </c>
      <c r="T14" s="4">
        <f t="shared" si="4"/>
        <v>7.45380592093116E-2</v>
      </c>
      <c r="U14" s="148">
        <f t="shared" si="1"/>
        <v>473.67698216062354</v>
      </c>
    </row>
    <row r="15" spans="1:24" ht="20.149999999999999" customHeight="1" x14ac:dyDescent="0.35">
      <c r="A15" s="1">
        <f t="shared" si="2"/>
        <v>1989</v>
      </c>
      <c r="C15" s="13">
        <f>C14+PARAMETERS!$B$5*PARAMETERS!$B$24*K14-P14*C14</f>
        <v>92.665326179444165</v>
      </c>
      <c r="D15" s="4">
        <f>PARAMETERS!$B$19*C15^PARAMETERS!$B$20</f>
        <v>9.1602928705859871E-2</v>
      </c>
      <c r="E15" s="4">
        <f t="shared" si="5"/>
        <v>1.2733703047610382E-2</v>
      </c>
      <c r="G15" s="141">
        <f>G14+PARAMETERS!$B$5*(1-PARAMETERS!$B$24)*K14-P14*G14</f>
        <v>395.04691687026201</v>
      </c>
      <c r="H15" s="141">
        <f>PARAMETERS!$B$22*G15^(1-PARAMETERS!$B$20)</f>
        <v>335.18199147827545</v>
      </c>
      <c r="I15" s="141">
        <f t="shared" si="6"/>
        <v>1.6684291506238253E-2</v>
      </c>
      <c r="K15" s="141">
        <f>PARAMETERS!$B$18*D15*H15</f>
        <v>36.353124049545151</v>
      </c>
      <c r="L15" s="141">
        <f t="shared" si="3"/>
        <v>2.9630447367448891E-2</v>
      </c>
      <c r="M15" s="28">
        <f>PARAMETERS!$B$21*EFFICIENCY!H15</f>
        <v>6.0393151617707286</v>
      </c>
      <c r="N15" s="13">
        <f>N14+M14+PARAMETERS!$B$14</f>
        <v>347.10064347349567</v>
      </c>
      <c r="O15" s="4">
        <f>PARAMETERS!$B$9*N15</f>
        <v>0.76007440176677887</v>
      </c>
      <c r="P15" s="4">
        <f>MAX(PARAMETERS!$B$6,PARAMETERS!$B$6+PARAMETERS!$B$10*(O15-PARAMETERS!$B$11))</f>
        <v>0.03</v>
      </c>
      <c r="Q15" s="4">
        <f t="shared" si="0"/>
        <v>2.484601973643719</v>
      </c>
      <c r="S15" s="23">
        <v>335.18199147827545</v>
      </c>
      <c r="T15" s="4">
        <f t="shared" si="4"/>
        <v>7.4538059209311572E-2</v>
      </c>
      <c r="U15" s="148">
        <f t="shared" si="1"/>
        <v>487.71224304970616</v>
      </c>
    </row>
    <row r="16" spans="1:24" ht="20.149999999999999" customHeight="1" x14ac:dyDescent="0.35">
      <c r="A16" s="1">
        <f t="shared" si="2"/>
        <v>1990</v>
      </c>
      <c r="C16" s="13">
        <f>C15+PARAMETERS!$B$5*PARAMETERS!$B$24*K15-P15*C15</f>
        <v>95.411041249591705</v>
      </c>
      <c r="D16" s="4">
        <f>PARAMETERS!$B$19*C16^PARAMETERS!$B$20</f>
        <v>9.2769373198291705E-2</v>
      </c>
      <c r="E16" s="4">
        <f t="shared" si="5"/>
        <v>1.2733703047610269E-2</v>
      </c>
      <c r="G16" s="141">
        <f>G15+PARAMETERS!$B$5*(1-PARAMETERS!$B$24)*K15-P15*G15</f>
        <v>406.75233374825939</v>
      </c>
      <c r="H16" s="141">
        <f>PARAMETERS!$B$22*G16^(1-PARAMETERS!$B$20)</f>
        <v>340.77426553174053</v>
      </c>
      <c r="I16" s="141">
        <f t="shared" si="6"/>
        <v>1.6684291506238437E-2</v>
      </c>
      <c r="K16" s="141">
        <f>PARAMETERS!$B$18*D16*H16</f>
        <v>37.430283378337542</v>
      </c>
      <c r="L16" s="141">
        <f t="shared" si="3"/>
        <v>2.9630447367448961E-2</v>
      </c>
      <c r="M16" s="28">
        <f>PARAMETERS!$B$21*EFFICIENCY!H16</f>
        <v>6.1400768564277568</v>
      </c>
      <c r="N16" s="13">
        <f>N15+M15+PARAMETERS!$B$14</f>
        <v>354.6399586352664</v>
      </c>
      <c r="O16" s="4">
        <f>PARAMETERS!$B$9*N16</f>
        <v>0.77658385102613081</v>
      </c>
      <c r="P16" s="4">
        <f>MAX(PARAMETERS!$B$6,PARAMETERS!$B$6+PARAMETERS!$B$10*(O16-PARAMETERS!$B$11))</f>
        <v>0.03</v>
      </c>
      <c r="Q16" s="4">
        <f t="shared" si="0"/>
        <v>2.4846019736437182</v>
      </c>
      <c r="S16" s="23">
        <v>340.77426553174053</v>
      </c>
      <c r="T16" s="4">
        <f t="shared" si="4"/>
        <v>7.4538059209311544E-2</v>
      </c>
      <c r="U16" s="148">
        <f t="shared" si="1"/>
        <v>502.16337499785107</v>
      </c>
    </row>
    <row r="17" spans="1:21" ht="20.149999999999999" customHeight="1" x14ac:dyDescent="0.35">
      <c r="A17" s="1">
        <f t="shared" si="2"/>
        <v>1991</v>
      </c>
      <c r="C17" s="13">
        <f>C16+PARAMETERS!$B$5*PARAMETERS!$B$24*K16-P16*C16</f>
        <v>98.238113085611261</v>
      </c>
      <c r="D17" s="4">
        <f>PARAMETERS!$B$19*C17^PARAMETERS!$B$20</f>
        <v>9.3950670848511719E-2</v>
      </c>
      <c r="E17" s="4">
        <f t="shared" si="5"/>
        <v>1.2733703047610625E-2</v>
      </c>
      <c r="G17" s="141">
        <f>G16+PARAMETERS!$B$5*(1-PARAMETERS!$B$24)*K16-P16*G16</f>
        <v>418.80458736497434</v>
      </c>
      <c r="H17" s="141">
        <f>PARAMETERS!$B$22*G17^(1-PARAMETERS!$B$20)</f>
        <v>346.45984271569654</v>
      </c>
      <c r="I17" s="141">
        <f t="shared" si="6"/>
        <v>1.6684291506238888E-2</v>
      </c>
      <c r="K17" s="141">
        <f>PARAMETERS!$B$18*D17*H17</f>
        <v>38.539359419928097</v>
      </c>
      <c r="L17" s="141">
        <f t="shared" si="3"/>
        <v>2.963044736744962E-2</v>
      </c>
      <c r="M17" s="28">
        <f>PARAMETERS!$B$21*EFFICIENCY!H17</f>
        <v>6.2425196885711092</v>
      </c>
      <c r="N17" s="13">
        <f>N16+M16+PARAMETERS!$B$14</f>
        <v>362.28003549169415</v>
      </c>
      <c r="O17" s="4">
        <f>PARAMETERS!$B$9*N17</f>
        <v>0.793313946332177</v>
      </c>
      <c r="P17" s="4">
        <f>MAX(PARAMETERS!$B$6,PARAMETERS!$B$6+PARAMETERS!$B$10*(O17-PARAMETERS!$B$11))</f>
        <v>0.03</v>
      </c>
      <c r="Q17" s="4">
        <f t="shared" si="0"/>
        <v>2.484601973643719</v>
      </c>
      <c r="S17" s="23">
        <v>346.45984271569654</v>
      </c>
      <c r="T17" s="4">
        <f t="shared" si="4"/>
        <v>7.4538059209311572E-2</v>
      </c>
      <c r="U17" s="148">
        <f t="shared" si="1"/>
        <v>517.04270045058558</v>
      </c>
    </row>
    <row r="18" spans="1:21" ht="20.149999999999999" customHeight="1" x14ac:dyDescent="0.35">
      <c r="A18" s="1">
        <f t="shared" si="2"/>
        <v>1992</v>
      </c>
      <c r="C18" s="13">
        <f>C17+PARAMETERS!$B$5*PARAMETERS!$B$24*K17-P17*C17</f>
        <v>101.148952324872</v>
      </c>
      <c r="D18" s="4">
        <f>PARAMETERS!$B$19*C18^PARAMETERS!$B$20</f>
        <v>9.5147010792220474E-2</v>
      </c>
      <c r="E18" s="4">
        <f t="shared" si="5"/>
        <v>1.2733703047610607E-2</v>
      </c>
      <c r="G18" s="141">
        <f>G17+PARAMETERS!$B$5*(1-PARAMETERS!$B$24)*K17-P17*G17</f>
        <v>431.21395464813855</v>
      </c>
      <c r="H18" s="141">
        <f>PARAMETERS!$B$22*G18^(1-PARAMETERS!$B$20)</f>
        <v>352.24027972677084</v>
      </c>
      <c r="I18" s="141">
        <f t="shared" si="6"/>
        <v>1.6684291506238718E-2</v>
      </c>
      <c r="K18" s="141">
        <f>PARAMETERS!$B$18*D18*H18</f>
        <v>39.681297880795498</v>
      </c>
      <c r="L18" s="141">
        <f t="shared" si="3"/>
        <v>2.9630447367449558E-2</v>
      </c>
      <c r="M18" s="28">
        <f>PARAMETERS!$B$21*EFFICIENCY!H18</f>
        <v>6.3466717067886638</v>
      </c>
      <c r="N18" s="13">
        <f>N17+M17+PARAMETERS!$B$14</f>
        <v>370.02255518026527</v>
      </c>
      <c r="O18" s="4">
        <f>PARAMETERS!$B$9*N18</f>
        <v>0.81026836900788024</v>
      </c>
      <c r="P18" s="4">
        <f>MAX(PARAMETERS!$B$6,PARAMETERS!$B$6+PARAMETERS!$B$10*(O18-PARAMETERS!$B$11))</f>
        <v>0.03</v>
      </c>
      <c r="Q18" s="4">
        <f t="shared" si="0"/>
        <v>2.4846019736437195</v>
      </c>
      <c r="S18" s="23">
        <v>352.24027972677084</v>
      </c>
      <c r="T18" s="4">
        <f t="shared" si="4"/>
        <v>7.4538059209311586E-2</v>
      </c>
      <c r="U18" s="148">
        <f t="shared" si="1"/>
        <v>532.36290697301058</v>
      </c>
    </row>
    <row r="19" spans="1:21" ht="20.149999999999999" customHeight="1" x14ac:dyDescent="0.35">
      <c r="A19" s="1">
        <f t="shared" si="2"/>
        <v>1993</v>
      </c>
      <c r="C19" s="13">
        <f>C18+PARAMETERS!$B$5*PARAMETERS!$B$24*K18-P18*C18</f>
        <v>104.14604103300675</v>
      </c>
      <c r="D19" s="4">
        <f>PARAMETERS!$B$19*C19^PARAMETERS!$B$20</f>
        <v>9.6358584573516412E-2</v>
      </c>
      <c r="E19" s="4">
        <f t="shared" si="5"/>
        <v>1.2733703047610618E-2</v>
      </c>
      <c r="G19" s="141">
        <f>G18+PARAMETERS!$B$5*(1-PARAMETERS!$B$24)*K18-P18*G18</f>
        <v>443.99101703544989</v>
      </c>
      <c r="H19" s="141">
        <f>PARAMETERS!$B$22*G19^(1-PARAMETERS!$B$20)</f>
        <v>358.11715923397128</v>
      </c>
      <c r="I19" s="141">
        <f t="shared" si="6"/>
        <v>1.6684291506238517E-2</v>
      </c>
      <c r="K19" s="141">
        <f>PARAMETERS!$B$18*D19*H19</f>
        <v>40.857072489124491</v>
      </c>
      <c r="L19" s="141">
        <f t="shared" si="3"/>
        <v>2.9630447367449415E-2</v>
      </c>
      <c r="M19" s="28">
        <f>PARAMETERS!$B$21*EFFICIENCY!H19</f>
        <v>6.4525614276391217</v>
      </c>
      <c r="N19" s="13">
        <f>N18+M18+PARAMETERS!$B$14</f>
        <v>377.86922688705391</v>
      </c>
      <c r="O19" s="4">
        <f>PARAMETERS!$B$9*N19</f>
        <v>0.82745086179646854</v>
      </c>
      <c r="P19" s="4">
        <f>MAX(PARAMETERS!$B$6,PARAMETERS!$B$6+PARAMETERS!$B$10*(O19-PARAMETERS!$B$11))</f>
        <v>0.03</v>
      </c>
      <c r="Q19" s="4">
        <f t="shared" si="0"/>
        <v>2.4846019736437199</v>
      </c>
      <c r="S19" s="23">
        <v>358.11715923397128</v>
      </c>
      <c r="T19" s="4">
        <f t="shared" si="4"/>
        <v>7.45380592093116E-2</v>
      </c>
      <c r="U19" s="148">
        <f t="shared" si="1"/>
        <v>548.13705806845667</v>
      </c>
    </row>
    <row r="20" spans="1:21" ht="20.149999999999999" customHeight="1" x14ac:dyDescent="0.35">
      <c r="A20" s="1">
        <f t="shared" si="2"/>
        <v>1994</v>
      </c>
      <c r="C20" s="13">
        <f>C19+PARAMETERS!$B$5*PARAMETERS!$B$24*K19-P19*C19</f>
        <v>107.23193482036348</v>
      </c>
      <c r="D20" s="4">
        <f>PARAMETERS!$B$19*C20^PARAMETERS!$B$20</f>
        <v>9.7585586175563635E-2</v>
      </c>
      <c r="E20" s="4">
        <f t="shared" si="5"/>
        <v>1.2733703047610531E-2</v>
      </c>
      <c r="G20" s="141">
        <f>G19+PARAMETERS!$B$5*(1-PARAMETERS!$B$24)*K19-P19*G19</f>
        <v>457.14666949733908</v>
      </c>
      <c r="H20" s="141">
        <f>PARAMETERS!$B$22*G20^(1-PARAMETERS!$B$20)</f>
        <v>364.09209031201686</v>
      </c>
      <c r="I20" s="141">
        <f t="shared" si="6"/>
        <v>1.668429150623844E-2</v>
      </c>
      <c r="K20" s="141">
        <f>PARAMETERS!$B$18*D20*H20</f>
        <v>42.067685825101549</v>
      </c>
      <c r="L20" s="141">
        <f t="shared" si="3"/>
        <v>2.9630447367449155E-2</v>
      </c>
      <c r="M20" s="28">
        <f>PARAMETERS!$B$21*EFFICIENCY!H20</f>
        <v>6.5602178434597631</v>
      </c>
      <c r="N20" s="13">
        <f>N19+M19+PARAMETERS!$B$14</f>
        <v>385.82178831469304</v>
      </c>
      <c r="O20" s="4">
        <f>PARAMETERS!$B$9*N20</f>
        <v>0.84486522988618917</v>
      </c>
      <c r="P20" s="4">
        <f>MAX(PARAMETERS!$B$6,PARAMETERS!$B$6+PARAMETERS!$B$10*(O20-PARAMETERS!$B$11))</f>
        <v>0.03</v>
      </c>
      <c r="Q20" s="4">
        <f t="shared" si="0"/>
        <v>2.4846019736437195</v>
      </c>
      <c r="S20" s="23">
        <v>364.09209031201686</v>
      </c>
      <c r="T20" s="4">
        <f t="shared" si="4"/>
        <v>7.4538059209311586E-2</v>
      </c>
      <c r="U20" s="148">
        <f t="shared" si="1"/>
        <v>564.37860431770252</v>
      </c>
    </row>
    <row r="21" spans="1:21" ht="20.149999999999999" customHeight="1" x14ac:dyDescent="0.35">
      <c r="A21" s="1">
        <f t="shared" si="2"/>
        <v>1995</v>
      </c>
      <c r="C21" s="13">
        <f>C20+PARAMETERS!$B$5*PARAMETERS!$B$24*K20-P20*C20</f>
        <v>110.40926502116801</v>
      </c>
      <c r="D21" s="4">
        <f>PARAMETERS!$B$19*C21^PARAMETERS!$B$20</f>
        <v>9.8828212051650266E-2</v>
      </c>
      <c r="E21" s="4">
        <f t="shared" si="5"/>
        <v>1.2733703047610493E-2</v>
      </c>
      <c r="G21" s="141">
        <f>G20+PARAMETERS!$B$5*(1-PARAMETERS!$B$24)*K20-P20*G20</f>
        <v>470.69212982708473</v>
      </c>
      <c r="H21" s="141">
        <f>PARAMETERS!$B$22*G21^(1-PARAMETERS!$B$20)</f>
        <v>370.16670888189833</v>
      </c>
      <c r="I21" s="141">
        <f t="shared" si="6"/>
        <v>1.6684291506238669E-2</v>
      </c>
      <c r="K21" s="141">
        <f>PARAMETERS!$B$18*D21*H21</f>
        <v>43.31417017581262</v>
      </c>
      <c r="L21" s="141">
        <f t="shared" si="3"/>
        <v>2.9630447367449467E-2</v>
      </c>
      <c r="M21" s="28">
        <f>PARAMETERS!$B$21*EFFICIENCY!H21</f>
        <v>6.6696704303044747</v>
      </c>
      <c r="N21" s="13">
        <f>N20+M20+PARAMETERS!$B$14</f>
        <v>393.88200615815282</v>
      </c>
      <c r="O21" s="4">
        <f>PARAMETERS!$B$9*N21</f>
        <v>0.86251534195215951</v>
      </c>
      <c r="P21" s="4">
        <f>MAX(PARAMETERS!$B$6,PARAMETERS!$B$6+PARAMETERS!$B$10*(O21-PARAMETERS!$B$11))</f>
        <v>0.03</v>
      </c>
      <c r="Q21" s="4">
        <f t="shared" si="0"/>
        <v>2.4846019736437199</v>
      </c>
      <c r="S21" s="23">
        <v>370.16670888189833</v>
      </c>
      <c r="T21" s="4">
        <f t="shared" si="4"/>
        <v>7.45380592093116E-2</v>
      </c>
      <c r="U21" s="148">
        <f t="shared" si="1"/>
        <v>581.10139484825277</v>
      </c>
    </row>
    <row r="22" spans="1:21" ht="20.149999999999999" customHeight="1" x14ac:dyDescent="0.35">
      <c r="A22" s="1">
        <f t="shared" si="2"/>
        <v>1996</v>
      </c>
      <c r="C22" s="13">
        <f>C21+PARAMETERS!$B$5*PARAMETERS!$B$24*K21-P21*C21</f>
        <v>113.6807409372565</v>
      </c>
      <c r="D22" s="4">
        <f>PARAMETERS!$B$19*C22^PARAMETERS!$B$20</f>
        <v>0.1000866611566423</v>
      </c>
      <c r="E22" s="4">
        <f t="shared" si="5"/>
        <v>1.2733703047610925E-2</v>
      </c>
      <c r="G22" s="141">
        <f>G21+PARAMETERS!$B$5*(1-PARAMETERS!$B$24)*K21-P21*G21</f>
        <v>484.63894820619873</v>
      </c>
      <c r="H22" s="141">
        <f>PARAMETERS!$B$22*G22^(1-PARAMETERS!$B$20)</f>
        <v>376.34267815878877</v>
      </c>
      <c r="I22" s="141">
        <f t="shared" si="6"/>
        <v>1.6684291506238298E-2</v>
      </c>
      <c r="K22" s="141">
        <f>PARAMETERS!$B$18*D22*H22</f>
        <v>44.597588415471783</v>
      </c>
      <c r="L22" s="141">
        <f t="shared" si="3"/>
        <v>2.9630447367449412E-2</v>
      </c>
      <c r="M22" s="28">
        <f>PARAMETERS!$B$21*EFFICIENCY!H22</f>
        <v>6.7809491560142119</v>
      </c>
      <c r="N22" s="13">
        <f>N21+M21+PARAMETERS!$B$14</f>
        <v>402.05167658845727</v>
      </c>
      <c r="O22" s="4">
        <f>PARAMETERS!$B$9*N22</f>
        <v>0.88040513121559993</v>
      </c>
      <c r="P22" s="4">
        <f>MAX(PARAMETERS!$B$6,PARAMETERS!$B$6+PARAMETERS!$B$10*(O22-PARAMETERS!$B$11))</f>
        <v>0.03</v>
      </c>
      <c r="Q22" s="4">
        <f t="shared" si="0"/>
        <v>2.4846019736437204</v>
      </c>
      <c r="S22" s="23">
        <v>376.34267815878877</v>
      </c>
      <c r="T22" s="4">
        <f t="shared" si="4"/>
        <v>7.4538059209311613E-2</v>
      </c>
      <c r="U22" s="148">
        <f t="shared" si="1"/>
        <v>598.31968914345521</v>
      </c>
    </row>
    <row r="23" spans="1:21" ht="20.149999999999999" customHeight="1" x14ac:dyDescent="0.35">
      <c r="A23" s="1">
        <f t="shared" si="2"/>
        <v>1997</v>
      </c>
      <c r="C23" s="13">
        <f>C22+PARAMETERS!$B$5*PARAMETERS!$B$24*K22-P22*C22</f>
        <v>117.04915214829052</v>
      </c>
      <c r="D23" s="4">
        <f>PARAMETERS!$B$19*C23^PARAMETERS!$B$20</f>
        <v>0.10136113497883781</v>
      </c>
      <c r="E23" s="4">
        <f t="shared" si="5"/>
        <v>1.2733703047610588E-2</v>
      </c>
      <c r="G23" s="141">
        <f>G22+PARAMETERS!$B$5*(1-PARAMETERS!$B$24)*K22-P22*G22</f>
        <v>498.9990170532385</v>
      </c>
      <c r="H23" s="141">
        <f>PARAMETERS!$B$22*G23^(1-PARAMETERS!$B$20)</f>
        <v>382.62168910742849</v>
      </c>
      <c r="I23" s="141">
        <f t="shared" si="6"/>
        <v>1.6684291506238482E-2</v>
      </c>
      <c r="K23" s="141">
        <f>PARAMETERS!$B$18*D23*H23</f>
        <v>45.919034911731586</v>
      </c>
      <c r="L23" s="141">
        <f t="shared" si="3"/>
        <v>2.963044736744929E-2</v>
      </c>
      <c r="M23" s="28">
        <f>PARAMETERS!$B$21*EFFICIENCY!H23</f>
        <v>6.8940844884221351</v>
      </c>
      <c r="N23" s="13">
        <f>N22+M22+PARAMETERS!$B$14</f>
        <v>410.3326257444715</v>
      </c>
      <c r="O23" s="4">
        <f>PARAMETERS!$B$9*N23</f>
        <v>0.89853859652074064</v>
      </c>
      <c r="P23" s="4">
        <f>MAX(PARAMETERS!$B$6,PARAMETERS!$B$6+PARAMETERS!$B$10*(O23-PARAMETERS!$B$11))</f>
        <v>0.03</v>
      </c>
      <c r="Q23" s="4">
        <f t="shared" si="0"/>
        <v>2.4846019736437199</v>
      </c>
      <c r="S23" s="23">
        <v>382.62168910742849</v>
      </c>
      <c r="T23" s="4">
        <f t="shared" si="4"/>
        <v>7.45380592093116E-2</v>
      </c>
      <c r="U23" s="148">
        <f t="shared" si="1"/>
        <v>616.04816920152905</v>
      </c>
    </row>
    <row r="24" spans="1:21" ht="20.149999999999999" customHeight="1" x14ac:dyDescent="0.35">
      <c r="A24" s="1">
        <f t="shared" si="2"/>
        <v>1998</v>
      </c>
      <c r="C24" s="13">
        <f>C23+PARAMETERS!$B$5*PARAMETERS!$B$24*K23-P23*C23</f>
        <v>120.517370890425</v>
      </c>
      <c r="D24" s="4">
        <f>PARAMETERS!$B$19*C24^PARAMETERS!$B$20</f>
        <v>0.10265183757222709</v>
      </c>
      <c r="E24" s="4">
        <f t="shared" si="5"/>
        <v>1.2733703047610507E-2</v>
      </c>
      <c r="G24" s="141">
        <f>G23+PARAMETERS!$B$5*(1-PARAMETERS!$B$24)*K23-P23*G23</f>
        <v>513.78458116444347</v>
      </c>
      <c r="H24" s="141">
        <f>PARAMETERS!$B$22*G24^(1-PARAMETERS!$B$20)</f>
        <v>389.00546090510608</v>
      </c>
      <c r="I24" s="141">
        <f t="shared" si="6"/>
        <v>1.6684291506238198E-2</v>
      </c>
      <c r="K24" s="141">
        <f>PARAMETERS!$B$18*D24*H24</f>
        <v>47.279636458847698</v>
      </c>
      <c r="L24" s="141">
        <f t="shared" si="3"/>
        <v>2.9630447367448905E-2</v>
      </c>
      <c r="M24" s="28">
        <f>PARAMETERS!$B$21*EFFICIENCY!H24</f>
        <v>7.0091074036956051</v>
      </c>
      <c r="N24" s="13">
        <f>N23+M23+PARAMETERS!$B$14</f>
        <v>418.72671023289365</v>
      </c>
      <c r="O24" s="4">
        <f>PARAMETERS!$B$9*N24</f>
        <v>0.91691980342969426</v>
      </c>
      <c r="P24" s="4">
        <f>MAX(PARAMETERS!$B$6,PARAMETERS!$B$6+PARAMETERS!$B$10*(O24-PARAMETERS!$B$11))</f>
        <v>0.03</v>
      </c>
      <c r="Q24" s="4">
        <f t="shared" si="0"/>
        <v>2.484601973643719</v>
      </c>
      <c r="S24" s="23">
        <v>389.00546090510608</v>
      </c>
      <c r="T24" s="4">
        <f t="shared" si="4"/>
        <v>7.4538059209311572E-2</v>
      </c>
      <c r="U24" s="148">
        <f t="shared" si="1"/>
        <v>634.30195205486848</v>
      </c>
    </row>
    <row r="25" spans="1:21" ht="20.149999999999999" customHeight="1" x14ac:dyDescent="0.35">
      <c r="A25" s="1">
        <f t="shared" si="2"/>
        <v>1999</v>
      </c>
      <c r="C25" s="13">
        <f>C24+PARAMETERS!$B$5*PARAMETERS!$B$24*K24-P24*C24</f>
        <v>124.0883545054571</v>
      </c>
      <c r="D25" s="4">
        <f>PARAMETERS!$B$19*C25^PARAMETERS!$B$20</f>
        <v>0.10395897558916338</v>
      </c>
      <c r="E25" s="4">
        <f t="shared" si="5"/>
        <v>1.2733703047610489E-2</v>
      </c>
      <c r="G25" s="141">
        <f>G24+PARAMETERS!$B$5*(1-PARAMETERS!$B$24)*K24-P24*G24</f>
        <v>529.00824815484339</v>
      </c>
      <c r="H25" s="141">
        <f>PARAMETERS!$B$22*G25^(1-PARAMETERS!$B$20)</f>
        <v>395.49574141236553</v>
      </c>
      <c r="I25" s="141">
        <f t="shared" si="6"/>
        <v>1.6684291506238506E-2</v>
      </c>
      <c r="K25" s="141">
        <f>PARAMETERS!$B$18*D25*H25</f>
        <v>48.680553238493715</v>
      </c>
      <c r="L25" s="141">
        <f t="shared" si="3"/>
        <v>2.9630447367449169E-2</v>
      </c>
      <c r="M25" s="28">
        <f>PARAMETERS!$B$21*EFFICIENCY!H25</f>
        <v>7.1260493948173966</v>
      </c>
      <c r="N25" s="13">
        <f>N24+M24+PARAMETERS!$B$14</f>
        <v>427.23581763658927</v>
      </c>
      <c r="O25" s="4">
        <f>PARAMETERS!$B$9*N25</f>
        <v>0.935552885335597</v>
      </c>
      <c r="P25" s="4">
        <f>MAX(PARAMETERS!$B$6,PARAMETERS!$B$6+PARAMETERS!$B$10*(O25-PARAMETERS!$B$11))</f>
        <v>0.03</v>
      </c>
      <c r="Q25" s="4">
        <f t="shared" si="0"/>
        <v>2.484601973643719</v>
      </c>
      <c r="S25" s="23">
        <v>395.49574141236553</v>
      </c>
      <c r="T25" s="4">
        <f t="shared" si="4"/>
        <v>7.4538059209311572E-2</v>
      </c>
      <c r="U25" s="148">
        <f t="shared" si="1"/>
        <v>653.0966026603005</v>
      </c>
    </row>
    <row r="26" spans="1:21" ht="20.149999999999999" customHeight="1" x14ac:dyDescent="0.35">
      <c r="A26" s="1">
        <f t="shared" si="2"/>
        <v>2000</v>
      </c>
      <c r="C26" s="13">
        <f>C25+PARAMETERS!$B$5*PARAMETERS!$B$24*K25-P25*C25</f>
        <v>127.76514796254443</v>
      </c>
      <c r="D26" s="4">
        <f>PARAMETERS!$B$19*C26^PARAMETERS!$B$20</f>
        <v>0.10528275831344958</v>
      </c>
      <c r="E26" s="4">
        <f t="shared" si="5"/>
        <v>1.2733703047610507E-2</v>
      </c>
      <c r="G26" s="141">
        <f>G25+PARAMETERS!$B$5*(1-PARAMETERS!$B$24)*K25-P25*G25</f>
        <v>544.68299920874199</v>
      </c>
      <c r="H26" s="141">
        <f>PARAMETERS!$B$22*G26^(1-PARAMETERS!$B$20)</f>
        <v>402.09430765156549</v>
      </c>
      <c r="I26" s="141">
        <f t="shared" si="6"/>
        <v>1.6684291506238819E-2</v>
      </c>
      <c r="K26" s="141">
        <f>PARAMETERS!$B$18*D26*H26</f>
        <v>50.122979809045233</v>
      </c>
      <c r="L26" s="141">
        <f t="shared" si="3"/>
        <v>2.9630447367449641E-2</v>
      </c>
      <c r="M26" s="28">
        <f>PARAMETERS!$B$21*EFFICIENCY!H26</f>
        <v>7.2449424802083868</v>
      </c>
      <c r="N26" s="13">
        <f>N25+M25+PARAMETERS!$B$14</f>
        <v>435.86186703140669</v>
      </c>
      <c r="O26" s="4">
        <f>PARAMETERS!$B$9*N26</f>
        <v>0.95444204459432125</v>
      </c>
      <c r="P26" s="4">
        <f>MAX(PARAMETERS!$B$6,PARAMETERS!$B$6+PARAMETERS!$B$10*(O26-PARAMETERS!$B$11))</f>
        <v>0.03</v>
      </c>
      <c r="Q26" s="4">
        <f t="shared" si="0"/>
        <v>2.4846019736437199</v>
      </c>
      <c r="S26" s="23">
        <v>402.09430765156549</v>
      </c>
      <c r="T26" s="4">
        <f t="shared" si="4"/>
        <v>7.45380592093116E-2</v>
      </c>
      <c r="U26" s="148">
        <f t="shared" si="1"/>
        <v>672.44814717128645</v>
      </c>
    </row>
    <row r="27" spans="1:21" ht="20.149999999999999" customHeight="1" x14ac:dyDescent="0.35">
      <c r="A27" s="1">
        <f t="shared" si="2"/>
        <v>2001</v>
      </c>
      <c r="C27" s="13">
        <f>C26+PARAMETERS!$B$5*PARAMETERS!$B$24*K26-P26*C26</f>
        <v>131.55088645464298</v>
      </c>
      <c r="D27" s="4">
        <f>PARAMETERS!$B$19*C27^PARAMETERS!$B$20</f>
        <v>0.10662339769384643</v>
      </c>
      <c r="E27" s="4">
        <f t="shared" si="5"/>
        <v>1.2733703047610926E-2</v>
      </c>
      <c r="G27" s="141">
        <f>G26+PARAMETERS!$B$5*(1-PARAMETERS!$B$24)*K26-P26*G26</f>
        <v>560.8222001487411</v>
      </c>
      <c r="H27" s="141">
        <f>PARAMETERS!$B$22*G27^(1-PARAMETERS!$B$20)</f>
        <v>408.80296629342325</v>
      </c>
      <c r="I27" s="141">
        <f t="shared" si="6"/>
        <v>1.6684291506238257E-2</v>
      </c>
      <c r="K27" s="141">
        <f>PARAMETERS!$B$18*D27*H27</f>
        <v>51.608146124176876</v>
      </c>
      <c r="L27" s="141">
        <f t="shared" si="3"/>
        <v>2.9630447367449384E-2</v>
      </c>
      <c r="M27" s="28">
        <f>PARAMETERS!$B$21*EFFICIENCY!H27</f>
        <v>7.3658192124941122</v>
      </c>
      <c r="N27" s="13">
        <f>N26+M26+PARAMETERS!$B$14</f>
        <v>444.6068095116151</v>
      </c>
      <c r="O27" s="4">
        <f>PARAMETERS!$B$9*N27</f>
        <v>0.97359155367506967</v>
      </c>
      <c r="P27" s="4">
        <f>MAX(PARAMETERS!$B$6,PARAMETERS!$B$6+PARAMETERS!$B$10*(O27-PARAMETERS!$B$11))</f>
        <v>0.03</v>
      </c>
      <c r="Q27" s="4">
        <f t="shared" si="0"/>
        <v>2.4846019736437204</v>
      </c>
      <c r="S27" s="23">
        <v>408.80296629342325</v>
      </c>
      <c r="T27" s="4">
        <f t="shared" si="4"/>
        <v>7.4538059209311613E-2</v>
      </c>
      <c r="U27" s="148">
        <f t="shared" si="1"/>
        <v>692.37308660338408</v>
      </c>
    </row>
    <row r="28" spans="1:21" ht="20.149999999999999" customHeight="1" x14ac:dyDescent="0.35">
      <c r="A28" s="1">
        <f t="shared" si="2"/>
        <v>2002</v>
      </c>
      <c r="C28" s="13">
        <f>C27+PARAMETERS!$B$5*PARAMETERS!$B$24*K27-P27*C27</f>
        <v>135.4487980718786</v>
      </c>
      <c r="D28" s="4">
        <f>PARAMETERS!$B$19*C28^PARAMETERS!$B$20</f>
        <v>0.1079811083780071</v>
      </c>
      <c r="E28" s="4">
        <f t="shared" si="5"/>
        <v>1.2733703047610049E-2</v>
      </c>
      <c r="G28" s="141">
        <f>G27+PARAMETERS!$B$5*(1-PARAMETERS!$B$24)*K27-P27*G27</f>
        <v>577.43961283274552</v>
      </c>
      <c r="H28" s="141">
        <f>PARAMETERS!$B$22*G28^(1-PARAMETERS!$B$20)</f>
        <v>415.62355415167769</v>
      </c>
      <c r="I28" s="141">
        <f t="shared" si="6"/>
        <v>1.668429150623844E-2</v>
      </c>
      <c r="K28" s="141">
        <f>PARAMETERS!$B$18*D28*H28</f>
        <v>53.137318581640891</v>
      </c>
      <c r="L28" s="141">
        <f t="shared" si="3"/>
        <v>2.9630447367448499E-2</v>
      </c>
      <c r="M28" s="28">
        <f>PARAMETERS!$B$21*EFFICIENCY!H28</f>
        <v>7.4887126874176158</v>
      </c>
      <c r="N28" s="13">
        <f>N27+M27+PARAMETERS!$B$14</f>
        <v>453.4726287241092</v>
      </c>
      <c r="O28" s="4">
        <f>PARAMETERS!$B$9*N28</f>
        <v>0.99300575633016619</v>
      </c>
      <c r="P28" s="4">
        <f>MAX(PARAMETERS!$B$6,PARAMETERS!$B$6+PARAMETERS!$B$10*(O28-PARAMETERS!$B$11))</f>
        <v>0.03</v>
      </c>
      <c r="Q28" s="4">
        <f t="shared" si="0"/>
        <v>2.4846019736437182</v>
      </c>
      <c r="S28" s="23">
        <v>415.62355415167769</v>
      </c>
      <c r="T28" s="4">
        <f t="shared" si="4"/>
        <v>7.4538059209311544E-2</v>
      </c>
      <c r="U28" s="148">
        <f t="shared" si="1"/>
        <v>712.88841090462415</v>
      </c>
    </row>
    <row r="29" spans="1:21" ht="20.149999999999999" customHeight="1" x14ac:dyDescent="0.35">
      <c r="A29" s="1">
        <f t="shared" si="2"/>
        <v>2003</v>
      </c>
      <c r="C29" s="13">
        <f>C28+PARAMETERS!$B$5*PARAMETERS!$B$24*K28-P28*C28</f>
        <v>139.46220655413165</v>
      </c>
      <c r="D29" s="4">
        <f>PARAMETERS!$B$19*C29^PARAMETERS!$B$20</f>
        <v>0.10935610774684448</v>
      </c>
      <c r="E29" s="4">
        <f t="shared" si="5"/>
        <v>1.2733703047610409E-2</v>
      </c>
      <c r="G29" s="141">
        <f>G28+PARAMETERS!$B$5*(1-PARAMETERS!$B$24)*K28-P28*G28</f>
        <v>594.54940688866645</v>
      </c>
      <c r="H29" s="141">
        <f>PARAMETERS!$B$22*G29^(1-PARAMETERS!$B$20)</f>
        <v>422.5579386860033</v>
      </c>
      <c r="I29" s="141">
        <f t="shared" si="6"/>
        <v>1.6684291506238763E-2</v>
      </c>
      <c r="K29" s="141">
        <f>PARAMETERS!$B$18*D29*H29</f>
        <v>54.711801103121594</v>
      </c>
      <c r="L29" s="141">
        <f t="shared" si="3"/>
        <v>2.9630447367449443E-2</v>
      </c>
      <c r="M29" s="28">
        <f>PARAMETERS!$B$21*EFFICIENCY!H29</f>
        <v>7.6136565529009603</v>
      </c>
      <c r="N29" s="13">
        <f>N28+M28+PARAMETERS!$B$14</f>
        <v>462.4613414115268</v>
      </c>
      <c r="O29" s="4">
        <f>PARAMETERS!$B$9*N29</f>
        <v>1.0126890687843653</v>
      </c>
      <c r="P29" s="4">
        <f>MAX(PARAMETERS!$B$6,PARAMETERS!$B$6+PARAMETERS!$B$10*(O29-PARAMETERS!$B$11))</f>
        <v>0.03</v>
      </c>
      <c r="Q29" s="4">
        <f t="shared" si="0"/>
        <v>2.4846019736437186</v>
      </c>
      <c r="S29" s="23">
        <v>422.5579386860033</v>
      </c>
      <c r="T29" s="4">
        <f t="shared" si="4"/>
        <v>7.4538059209311558E-2</v>
      </c>
      <c r="U29" s="148">
        <f t="shared" si="1"/>
        <v>734.01161344279808</v>
      </c>
    </row>
    <row r="30" spans="1:21" ht="20.149999999999999" customHeight="1" x14ac:dyDescent="0.35">
      <c r="A30" s="1">
        <f t="shared" si="2"/>
        <v>2004</v>
      </c>
      <c r="C30" s="13">
        <f>C29+PARAMETERS!$B$5*PARAMETERS!$B$24*K29-P29*C29</f>
        <v>143.59453412518221</v>
      </c>
      <c r="D30" s="4">
        <f>PARAMETERS!$B$19*C30^PARAMETERS!$B$20</f>
        <v>0.11074861594933533</v>
      </c>
      <c r="E30" s="4">
        <f t="shared" si="5"/>
        <v>1.273370304761076E-2</v>
      </c>
      <c r="G30" s="141">
        <f>G29+PARAMETERS!$B$5*(1-PARAMETERS!$B$24)*K29-P29*G29</f>
        <v>612.1661717968293</v>
      </c>
      <c r="H30" s="141">
        <f>PARAMETERS!$B$22*G30^(1-PARAMETERS!$B$20)</f>
        <v>429.60801851331598</v>
      </c>
      <c r="I30" s="141">
        <f t="shared" si="6"/>
        <v>1.668429150623886E-2</v>
      </c>
      <c r="K30" s="141">
        <f>PARAMETERS!$B$18*D30*H30</f>
        <v>56.332936246086028</v>
      </c>
      <c r="L30" s="141">
        <f t="shared" si="3"/>
        <v>2.9630447367449939E-2</v>
      </c>
      <c r="M30" s="28">
        <f>PARAMETERS!$B$21*EFFICIENCY!H30</f>
        <v>7.7406850182579454</v>
      </c>
      <c r="N30" s="13">
        <f>N29+M29+PARAMETERS!$B$14</f>
        <v>471.57499796442778</v>
      </c>
      <c r="O30" s="4">
        <f>PARAMETERS!$B$9*N30</f>
        <v>1.0326459809440025</v>
      </c>
      <c r="P30" s="4">
        <f>MAX(PARAMETERS!$B$6,PARAMETERS!$B$6+PARAMETERS!$B$10*(O30-PARAMETERS!$B$11))</f>
        <v>0.03</v>
      </c>
      <c r="Q30" s="4">
        <f t="shared" si="0"/>
        <v>2.4846019736437199</v>
      </c>
      <c r="S30" s="23">
        <v>429.60801851331598</v>
      </c>
      <c r="T30" s="4">
        <f t="shared" si="4"/>
        <v>7.45380592093116E-2</v>
      </c>
      <c r="U30" s="148">
        <f t="shared" si="1"/>
        <v>755.76070592201154</v>
      </c>
    </row>
    <row r="31" spans="1:21" ht="20.149999999999999" customHeight="1" x14ac:dyDescent="0.35">
      <c r="A31" s="1">
        <f t="shared" si="2"/>
        <v>2005</v>
      </c>
      <c r="C31" s="13">
        <f>C30+PARAMETERS!$B$5*PARAMETERS!$B$24*K30-P30*C30</f>
        <v>147.84930441083182</v>
      </c>
      <c r="D31" s="4">
        <f>PARAMETERS!$B$19*C31^PARAMETERS!$B$20</f>
        <v>0.11215885593776806</v>
      </c>
      <c r="E31" s="4">
        <f t="shared" si="5"/>
        <v>1.2733703047610826E-2</v>
      </c>
      <c r="G31" s="141">
        <f>G30+PARAMETERS!$B$5*(1-PARAMETERS!$B$24)*K30-P30*G30</f>
        <v>630.30492933038818</v>
      </c>
      <c r="H31" s="141">
        <f>PARAMETERS!$B$22*G31^(1-PARAMETERS!$B$20)</f>
        <v>436.77572392760959</v>
      </c>
      <c r="I31" s="141">
        <f t="shared" si="6"/>
        <v>1.6684291506238354E-2</v>
      </c>
      <c r="K31" s="141">
        <f>PARAMETERS!$B$18*D31*H31</f>
        <v>58.002106348579559</v>
      </c>
      <c r="L31" s="141">
        <f t="shared" si="3"/>
        <v>2.9630447367449339E-2</v>
      </c>
      <c r="M31" s="28">
        <f>PARAMETERS!$B$21*EFFICIENCY!H31</f>
        <v>7.869832863560533</v>
      </c>
      <c r="N31" s="13">
        <f>N30+M30+PARAMETERS!$B$14</f>
        <v>480.8156829826857</v>
      </c>
      <c r="O31" s="4">
        <f>PARAMETERS!$B$9*N31</f>
        <v>1.0528810576263192</v>
      </c>
      <c r="P31" s="4">
        <f>MAX(PARAMETERS!$B$6,PARAMETERS!$B$6+PARAMETERS!$B$10*(O31-PARAMETERS!$B$11))</f>
        <v>0.03</v>
      </c>
      <c r="Q31" s="4">
        <f t="shared" si="0"/>
        <v>2.4846019736437204</v>
      </c>
      <c r="S31" s="23">
        <v>436.77572392760959</v>
      </c>
      <c r="T31" s="4">
        <f t="shared" si="4"/>
        <v>7.4538059209311613E-2</v>
      </c>
      <c r="U31" s="148">
        <f t="shared" si="1"/>
        <v>778.15423374121997</v>
      </c>
    </row>
    <row r="32" spans="1:21" ht="20.149999999999999" customHeight="1" x14ac:dyDescent="0.35">
      <c r="A32" s="1">
        <f t="shared" si="2"/>
        <v>2006</v>
      </c>
      <c r="C32" s="13">
        <f>C31+PARAMETERS!$B$5*PARAMETERS!$B$24*K31-P31*C31</f>
        <v>152.23014544349095</v>
      </c>
      <c r="D32" s="4">
        <f>PARAMETERS!$B$19*C32^PARAMETERS!$B$20</f>
        <v>0.11358705350343931</v>
      </c>
      <c r="E32" s="4">
        <f t="shared" si="5"/>
        <v>1.2733703047610392E-2</v>
      </c>
      <c r="G32" s="141">
        <f>G31+PARAMETERS!$B$5*(1-PARAMETERS!$B$24)*K31-P31*G31</f>
        <v>648.98114636435605</v>
      </c>
      <c r="H32" s="141">
        <f>PARAMETERS!$B$22*G32^(1-PARAMETERS!$B$20)</f>
        <v>444.06301742846614</v>
      </c>
      <c r="I32" s="141">
        <f t="shared" si="6"/>
        <v>1.6684291506238409E-2</v>
      </c>
      <c r="K32" s="141">
        <f>PARAMETERS!$B$18*D32*H32</f>
        <v>59.720734707942327</v>
      </c>
      <c r="L32" s="141">
        <f t="shared" si="3"/>
        <v>2.963044736744903E-2</v>
      </c>
      <c r="M32" s="28">
        <f>PARAMETERS!$B$21*EFFICIENCY!H32</f>
        <v>8.0011354491615521</v>
      </c>
      <c r="N32" s="13">
        <f>N31+M31+PARAMETERS!$B$14</f>
        <v>490.18551584624623</v>
      </c>
      <c r="O32" s="4">
        <f>PARAMETERS!$B$9*N32</f>
        <v>1.0733989398092985</v>
      </c>
      <c r="P32" s="4">
        <f>MAX(PARAMETERS!$B$6,PARAMETERS!$B$6+PARAMETERS!$B$10*(O32-PARAMETERS!$B$11))</f>
        <v>0.03</v>
      </c>
      <c r="Q32" s="4">
        <f t="shared" si="0"/>
        <v>2.4846019736437195</v>
      </c>
      <c r="S32" s="23">
        <v>444.06301742846614</v>
      </c>
      <c r="T32" s="4">
        <f t="shared" si="4"/>
        <v>7.4538059209311586E-2</v>
      </c>
      <c r="U32" s="148">
        <f t="shared" si="1"/>
        <v>801.21129180784703</v>
      </c>
    </row>
    <row r="33" spans="1:21" ht="20.149999999999999" customHeight="1" x14ac:dyDescent="0.35">
      <c r="A33" s="1">
        <f t="shared" si="2"/>
        <v>2007</v>
      </c>
      <c r="C33" s="13">
        <f>C32+PARAMETERS!$B$5*PARAMETERS!$B$24*K32-P32*C32</f>
        <v>156.74079275579345</v>
      </c>
      <c r="D33" s="4">
        <f>PARAMETERS!$B$19*C33^PARAMETERS!$B$20</f>
        <v>0.11503343731280517</v>
      </c>
      <c r="E33" s="4">
        <f t="shared" si="5"/>
        <v>1.2733703047610671E-2</v>
      </c>
      <c r="G33" s="141">
        <f>G32+PARAMETERS!$B$5*(1-PARAMETERS!$B$24)*K32-P32*G32</f>
        <v>668.21074806417198</v>
      </c>
      <c r="H33" s="141">
        <f>PARAMETERS!$B$22*G33^(1-PARAMETERS!$B$20)</f>
        <v>451.47189425838246</v>
      </c>
      <c r="I33" s="141">
        <f t="shared" si="6"/>
        <v>1.6684291506238336E-2</v>
      </c>
      <c r="K33" s="141">
        <f>PARAMETERS!$B$18*D33*H33</f>
        <v>61.490286794451414</v>
      </c>
      <c r="L33" s="141">
        <f t="shared" si="3"/>
        <v>2.9630447367449287E-2</v>
      </c>
      <c r="M33" s="28">
        <f>PARAMETERS!$B$21*EFFICIENCY!H33</f>
        <v>8.1346287253762597</v>
      </c>
      <c r="N33" s="13">
        <f>N32+M32+PARAMETERS!$B$14</f>
        <v>499.68665129540778</v>
      </c>
      <c r="O33" s="4">
        <f>PARAMETERS!$B$9*N33</f>
        <v>1.0942043459023529</v>
      </c>
      <c r="P33" s="4">
        <f>MAX(PARAMETERS!$B$6,PARAMETERS!$B$6+PARAMETERS!$B$10*(O33-PARAMETERS!$B$11))</f>
        <v>0.03</v>
      </c>
      <c r="Q33" s="4">
        <f t="shared" si="0"/>
        <v>2.4846019736437199</v>
      </c>
      <c r="S33" s="23">
        <v>451.47189425838246</v>
      </c>
      <c r="T33" s="4">
        <f t="shared" si="4"/>
        <v>7.45380592093116E-2</v>
      </c>
      <c r="U33" s="148">
        <f t="shared" si="1"/>
        <v>824.95154081996543</v>
      </c>
    </row>
    <row r="34" spans="1:21" ht="20.149999999999999" customHeight="1" x14ac:dyDescent="0.35">
      <c r="A34" s="1">
        <f t="shared" si="2"/>
        <v>2008</v>
      </c>
      <c r="C34" s="13">
        <f>C33+PARAMETERS!$B$5*PARAMETERS!$B$24*K33-P33*C33</f>
        <v>161.38509256587628</v>
      </c>
      <c r="D34" s="4">
        <f>PARAMETERS!$B$19*C34^PARAMETERS!$B$20</f>
        <v>0.11649823894409234</v>
      </c>
      <c r="E34" s="4">
        <f t="shared" si="5"/>
        <v>1.2733703047610364E-2</v>
      </c>
      <c r="G34" s="141">
        <f>G33+PARAMETERS!$B$5*(1-PARAMETERS!$B$24)*K33-P33*G33</f>
        <v>688.01013146505124</v>
      </c>
      <c r="H34" s="141">
        <f>PARAMETERS!$B$22*G34^(1-PARAMETERS!$B$20)</f>
        <v>459.00438294906297</v>
      </c>
      <c r="I34" s="141">
        <f t="shared" si="6"/>
        <v>1.668429150623844E-2</v>
      </c>
      <c r="K34" s="141">
        <f>PARAMETERS!$B$18*D34*H34</f>
        <v>63.312271500923742</v>
      </c>
      <c r="L34" s="141">
        <f t="shared" si="3"/>
        <v>2.963044736744886E-2</v>
      </c>
      <c r="M34" s="28">
        <f>PARAMETERS!$B$21*EFFICIENCY!H34</f>
        <v>8.2703492423254588</v>
      </c>
      <c r="N34" s="13">
        <f>N33+M33+PARAMETERS!$B$14</f>
        <v>509.32128002078406</v>
      </c>
      <c r="O34" s="4">
        <f>PARAMETERS!$B$9*N34</f>
        <v>1.1153020730382133</v>
      </c>
      <c r="P34" s="4">
        <f>MAX(PARAMETERS!$B$6,PARAMETERS!$B$6+PARAMETERS!$B$10*(O34-PARAMETERS!$B$11))</f>
        <v>0.03</v>
      </c>
      <c r="Q34" s="4">
        <f t="shared" si="0"/>
        <v>2.484601973643719</v>
      </c>
      <c r="S34" s="23">
        <v>459.00438294906297</v>
      </c>
      <c r="T34" s="4">
        <f t="shared" si="4"/>
        <v>7.4538059209311572E-2</v>
      </c>
      <c r="U34" s="148">
        <f t="shared" si="1"/>
        <v>849.39522403092747</v>
      </c>
    </row>
    <row r="35" spans="1:21" ht="20.149999999999999" customHeight="1" x14ac:dyDescent="0.35">
      <c r="A35" s="1">
        <f t="shared" si="2"/>
        <v>2009</v>
      </c>
      <c r="C35" s="13">
        <f>C34+PARAMETERS!$B$5*PARAMETERS!$B$24*K34-P34*C34</f>
        <v>166.1670050570404</v>
      </c>
      <c r="D35" s="4">
        <f>PARAMETERS!$B$19*C35^PARAMETERS!$B$20</f>
        <v>0.11798169292437601</v>
      </c>
      <c r="E35" s="4">
        <f t="shared" si="5"/>
        <v>1.2733703047610711E-2</v>
      </c>
      <c r="G35" s="141">
        <f>G34+PARAMETERS!$B$5*(1-PARAMETERS!$B$24)*K34-P34*G34</f>
        <v>708.39617945369832</v>
      </c>
      <c r="H35" s="141">
        <f>PARAMETERS!$B$22*G35^(1-PARAMETERS!$B$20)</f>
        <v>466.66254587682636</v>
      </c>
      <c r="I35" s="141">
        <f t="shared" si="6"/>
        <v>1.6684291506238697E-2</v>
      </c>
      <c r="K35" s="141">
        <f>PARAMETERS!$B$18*D35*H35</f>
        <v>65.18824242934555</v>
      </c>
      <c r="L35" s="141">
        <f t="shared" si="3"/>
        <v>2.9630447367449717E-2</v>
      </c>
      <c r="M35" s="28">
        <f>PARAMETERS!$B$21*EFFICIENCY!H35</f>
        <v>8.4083341599428163</v>
      </c>
      <c r="N35" s="13">
        <f>N34+M34+PARAMETERS!$B$14</f>
        <v>519.09162926310955</v>
      </c>
      <c r="O35" s="4">
        <f>PARAMETERS!$B$9*N35</f>
        <v>1.1366969983863713</v>
      </c>
      <c r="P35" s="4">
        <f>MAX(PARAMETERS!$B$6,PARAMETERS!$B$6+PARAMETERS!$B$10*(O35-PARAMETERS!$B$11))</f>
        <v>0.03</v>
      </c>
      <c r="Q35" s="4">
        <f t="shared" si="0"/>
        <v>2.4846019736437204</v>
      </c>
      <c r="S35" s="23">
        <v>466.66254587682636</v>
      </c>
      <c r="T35" s="4">
        <f t="shared" si="4"/>
        <v>7.4538059209311613E-2</v>
      </c>
      <c r="U35" s="148">
        <f t="shared" si="1"/>
        <v>874.56318451073867</v>
      </c>
    </row>
    <row r="36" spans="1:21" ht="20.149999999999999" customHeight="1" x14ac:dyDescent="0.35">
      <c r="A36" s="1">
        <f t="shared" si="2"/>
        <v>2010</v>
      </c>
      <c r="C36" s="13">
        <f>C35+PARAMETERS!$B$5*PARAMETERS!$B$24*K35-P35*C35</f>
        <v>171.09060775458971</v>
      </c>
      <c r="D36" s="4">
        <f>PARAMETERS!$B$19*C36^PARAMETERS!$B$20</f>
        <v>0.11948403676712942</v>
      </c>
      <c r="E36" s="4">
        <f t="shared" si="5"/>
        <v>1.2733703047610831E-2</v>
      </c>
      <c r="G36" s="141">
        <f>G35+PARAMETERS!$B$5*(1-PARAMETERS!$B$24)*K35-P35*G35</f>
        <v>729.38627516430336</v>
      </c>
      <c r="H36" s="141">
        <f>PARAMETERS!$B$22*G36^(1-PARAMETERS!$B$20)</f>
        <v>474.44847982727867</v>
      </c>
      <c r="I36" s="141">
        <f t="shared" si="6"/>
        <v>1.6684291506238392E-2</v>
      </c>
      <c r="K36" s="141">
        <f>PARAMETERS!$B$18*D36*H36</f>
        <v>67.119799215624809</v>
      </c>
      <c r="L36" s="141">
        <f t="shared" si="3"/>
        <v>2.963044736744946E-2</v>
      </c>
      <c r="M36" s="28">
        <f>PARAMETERS!$B$21*EFFICIENCY!H36</f>
        <v>8.548621258149165</v>
      </c>
      <c r="N36" s="13">
        <f>N35+M35+PARAMETERS!$B$14</f>
        <v>528.99996342305235</v>
      </c>
      <c r="O36" s="4">
        <f>PARAMETERS!$B$9*N36</f>
        <v>1.1583940804884358</v>
      </c>
      <c r="P36" s="4">
        <f>MAX(PARAMETERS!$B$6,PARAMETERS!$B$6+PARAMETERS!$B$10*(O36-PARAMETERS!$B$11))</f>
        <v>0.03</v>
      </c>
      <c r="Q36" s="4">
        <f t="shared" si="0"/>
        <v>2.4846019736437199</v>
      </c>
      <c r="S36" s="23">
        <v>474.44847982727867</v>
      </c>
      <c r="T36" s="4">
        <f t="shared" si="4"/>
        <v>7.45380592093116E-2</v>
      </c>
      <c r="U36" s="148">
        <f t="shared" si="1"/>
        <v>900.47688291889312</v>
      </c>
    </row>
    <row r="37" spans="1:21" ht="20.149999999999999" customHeight="1" x14ac:dyDescent="0.35">
      <c r="A37" s="1">
        <f t="shared" si="2"/>
        <v>2011</v>
      </c>
      <c r="C37" s="13">
        <f>C36+PARAMETERS!$B$5*PARAMETERS!$B$24*K36-P36*C36</f>
        <v>176.16009900272698</v>
      </c>
      <c r="D37" s="4">
        <f>PARAMETERS!$B$19*C37^PARAMETERS!$B$20</f>
        <v>0.12100551101025184</v>
      </c>
      <c r="E37" s="4">
        <f t="shared" si="5"/>
        <v>1.2733703047610659E-2</v>
      </c>
      <c r="G37" s="141">
        <f>G36+PARAMETERS!$B$5*(1-PARAMETERS!$B$24)*K36-P36*G36</f>
        <v>750.99831680109924</v>
      </c>
      <c r="H37" s="141">
        <f>PARAMETERS!$B$22*G37^(1-PARAMETERS!$B$20)</f>
        <v>482.36431656940869</v>
      </c>
      <c r="I37" s="141">
        <f t="shared" si="6"/>
        <v>1.6684291506238451E-2</v>
      </c>
      <c r="K37" s="141">
        <f>PARAMETERS!$B$18*D37*H37</f>
        <v>69.108588893597144</v>
      </c>
      <c r="L37" s="141">
        <f t="shared" si="3"/>
        <v>2.9630447367449287E-2</v>
      </c>
      <c r="M37" s="28">
        <f>PARAMETERS!$B$21*EFFICIENCY!H37</f>
        <v>8.6912489471965522</v>
      </c>
      <c r="N37" s="13">
        <f>N36+M36+PARAMETERS!$B$14</f>
        <v>539.04858468120153</v>
      </c>
      <c r="O37" s="4">
        <f>PARAMETERS!$B$9*N37</f>
        <v>1.18039836061577</v>
      </c>
      <c r="P37" s="4">
        <f>MAX(PARAMETERS!$B$6,PARAMETERS!$B$6+PARAMETERS!$B$10*(O37-PARAMETERS!$B$11))</f>
        <v>0.03</v>
      </c>
      <c r="Q37" s="4">
        <f t="shared" si="0"/>
        <v>2.4846019736437199</v>
      </c>
      <c r="S37" s="23">
        <v>482.36431656940869</v>
      </c>
      <c r="T37" s="4">
        <f t="shared" si="4"/>
        <v>7.45380592093116E-2</v>
      </c>
      <c r="U37" s="148">
        <f t="shared" si="1"/>
        <v>927.15841580382619</v>
      </c>
    </row>
    <row r="38" spans="1:21" ht="20.149999999999999" customHeight="1" x14ac:dyDescent="0.35">
      <c r="A38" s="1">
        <f t="shared" si="2"/>
        <v>2012</v>
      </c>
      <c r="C38" s="13">
        <f>C37+PARAMETERS!$B$5*PARAMETERS!$B$24*K37-P37*C37</f>
        <v>181.37980154447195</v>
      </c>
      <c r="D38" s="4">
        <f>PARAMETERS!$B$19*C38^PARAMETERS!$B$20</f>
        <v>0.12254635925458075</v>
      </c>
      <c r="E38" s="4">
        <f t="shared" si="5"/>
        <v>1.2733703047610548E-2</v>
      </c>
      <c r="G38" s="141">
        <f>G37+PARAMETERS!$B$5*(1-PARAMETERS!$B$24)*K37-P37*G37</f>
        <v>773.25073290011721</v>
      </c>
      <c r="H38" s="141">
        <f>PARAMETERS!$B$22*G38^(1-PARAMETERS!$B$20)</f>
        <v>490.41222343926006</v>
      </c>
      <c r="I38" s="141">
        <f t="shared" si="6"/>
        <v>1.6684291506238191E-2</v>
      </c>
      <c r="K38" s="141">
        <f>PARAMETERS!$B$18*D38*H38</f>
        <v>71.156307299447533</v>
      </c>
      <c r="L38" s="141">
        <f t="shared" si="3"/>
        <v>2.9630447367448836E-2</v>
      </c>
      <c r="M38" s="28">
        <f>PARAMETERS!$B$21*EFFICIENCY!H38</f>
        <v>8.8362562781848659</v>
      </c>
      <c r="N38" s="13">
        <f>N37+M37+PARAMETERS!$B$14</f>
        <v>549.23983362839806</v>
      </c>
      <c r="O38" s="4">
        <f>PARAMETERS!$B$9*N38</f>
        <v>1.202714964149777</v>
      </c>
      <c r="P38" s="4">
        <f>MAX(PARAMETERS!$B$6,PARAMETERS!$B$6+PARAMETERS!$B$10*(O38-PARAMETERS!$B$11))</f>
        <v>0.03</v>
      </c>
      <c r="Q38" s="4">
        <f t="shared" si="0"/>
        <v>2.484601973643719</v>
      </c>
      <c r="S38" s="23">
        <v>490.41222343926006</v>
      </c>
      <c r="T38" s="4">
        <f t="shared" si="4"/>
        <v>7.4538059209311572E-2</v>
      </c>
      <c r="U38" s="148">
        <f t="shared" si="1"/>
        <v>954.6305344445891</v>
      </c>
    </row>
    <row r="39" spans="1:21" ht="20.149999999999999" customHeight="1" x14ac:dyDescent="0.35">
      <c r="A39" s="1">
        <f t="shared" si="2"/>
        <v>2013</v>
      </c>
      <c r="C39" s="13">
        <f>C38+PARAMETERS!$B$5*PARAMETERS!$B$24*K38-P38*C38</f>
        <v>186.75416620765381</v>
      </c>
      <c r="D39" s="4">
        <f>PARAMETERS!$B$19*C39^PARAMETERS!$B$20</f>
        <v>0.12410682820289436</v>
      </c>
      <c r="E39" s="4">
        <f t="shared" si="5"/>
        <v>1.2733703047610316E-2</v>
      </c>
      <c r="G39" s="141">
        <f>G38+PARAMETERS!$B$5*(1-PARAMETERS!$B$24)*K38-P38*G38</f>
        <v>796.16249804315578</v>
      </c>
      <c r="H39" s="141">
        <f>PARAMETERS!$B$22*G39^(1-PARAMETERS!$B$20)</f>
        <v>498.59440393334364</v>
      </c>
      <c r="I39" s="141">
        <f t="shared" si="6"/>
        <v>1.6684291506239311E-2</v>
      </c>
      <c r="K39" s="141">
        <f>PARAMETERS!$B$18*D39*H39</f>
        <v>73.264700517745908</v>
      </c>
      <c r="L39" s="141">
        <f t="shared" si="3"/>
        <v>2.9630447367449946E-2</v>
      </c>
      <c r="M39" s="28">
        <f>PARAMETERS!$B$21*EFFICIENCY!H39</f>
        <v>8.9836829537539398</v>
      </c>
      <c r="N39" s="13">
        <f>N38+M38+PARAMETERS!$B$14</f>
        <v>559.57608990658298</v>
      </c>
      <c r="O39" s="4">
        <f>PARAMETERS!$B$9*N39</f>
        <v>1.2253491019852183</v>
      </c>
      <c r="P39" s="4">
        <f>MAX(PARAMETERS!$B$6,PARAMETERS!$B$6+PARAMETERS!$B$10*(O39-PARAMETERS!$B$11))</f>
        <v>0.03</v>
      </c>
      <c r="Q39" s="4">
        <f t="shared" si="0"/>
        <v>2.4846019736437204</v>
      </c>
      <c r="S39" s="23">
        <v>498.59440393334364</v>
      </c>
      <c r="T39" s="4">
        <f t="shared" si="4"/>
        <v>7.4538059209311613E-2</v>
      </c>
      <c r="U39" s="148">
        <f t="shared" si="1"/>
        <v>982.91666425080962</v>
      </c>
    </row>
    <row r="40" spans="1:21" ht="20.149999999999999" customHeight="1" x14ac:dyDescent="0.35">
      <c r="A40" s="1">
        <f t="shared" si="2"/>
        <v>2014</v>
      </c>
      <c r="C40" s="13">
        <f>C39+PARAMETERS!$B$5*PARAMETERS!$B$24*K39-P39*C39</f>
        <v>192.28777570012159</v>
      </c>
      <c r="D40" s="4">
        <f>PARAMETERS!$B$19*C40^PARAMETERS!$B$20</f>
        <v>0.12568716769941082</v>
      </c>
      <c r="E40" s="4">
        <f t="shared" si="5"/>
        <v>1.2733703047610486E-2</v>
      </c>
      <c r="G40" s="141">
        <f>G39+PARAMETERS!$B$5*(1-PARAMETERS!$B$24)*K39-P39*G39</f>
        <v>819.75314903736046</v>
      </c>
      <c r="H40" s="141">
        <f>PARAMETERS!$B$22*G40^(1-PARAMETERS!$B$20)</f>
        <v>506.91309831194673</v>
      </c>
      <c r="I40" s="141">
        <f t="shared" si="6"/>
        <v>1.6684291506238402E-2</v>
      </c>
      <c r="K40" s="141">
        <f>PARAMETERS!$B$18*D40*H40</f>
        <v>75.4355663703289</v>
      </c>
      <c r="L40" s="141">
        <f t="shared" si="3"/>
        <v>2.963044736744911E-2</v>
      </c>
      <c r="M40" s="28">
        <f>PARAMETERS!$B$21*EFFICIENCY!H40</f>
        <v>9.1335693389539951</v>
      </c>
      <c r="N40" s="13">
        <f>N39+M39+PARAMETERS!$B$14</f>
        <v>570.05977286033692</v>
      </c>
      <c r="O40" s="4">
        <f>PARAMETERS!$B$9*N40</f>
        <v>1.2483060719569423</v>
      </c>
      <c r="P40" s="4">
        <f>MAX(PARAMETERS!$B$6,PARAMETERS!$B$6+PARAMETERS!$B$10*(O40-PARAMETERS!$B$11))</f>
        <v>0.03</v>
      </c>
      <c r="Q40" s="4">
        <f t="shared" si="0"/>
        <v>2.4846019736437199</v>
      </c>
      <c r="S40" s="23">
        <v>506.91309831194673</v>
      </c>
      <c r="T40" s="4">
        <f t="shared" si="4"/>
        <v>7.45380592093116E-2</v>
      </c>
      <c r="U40" s="148">
        <f t="shared" si="1"/>
        <v>1012.0409247374821</v>
      </c>
    </row>
    <row r="41" spans="1:21" ht="20.149999999999999" customHeight="1" x14ac:dyDescent="0.35">
      <c r="A41" s="1">
        <f t="shared" si="2"/>
        <v>2015</v>
      </c>
      <c r="C41" s="13">
        <f>C40+PARAMETERS!$B$5*PARAMETERS!$B$24*K40-P40*C40</f>
        <v>197.98534851740794</v>
      </c>
      <c r="D41" s="4">
        <f>PARAMETERS!$B$19*C41^PARAMETERS!$B$20</f>
        <v>0.12728763076979036</v>
      </c>
      <c r="E41" s="4">
        <f t="shared" si="5"/>
        <v>1.2733703047610598E-2</v>
      </c>
      <c r="G41" s="141">
        <f>G40+PARAMETERS!$B$5*(1-PARAMETERS!$B$24)*K40-P40*G40</f>
        <v>844.04280157421272</v>
      </c>
      <c r="H41" s="141">
        <f>PARAMETERS!$B$22*G41^(1-PARAMETERS!$B$20)</f>
        <v>515.37058421251368</v>
      </c>
      <c r="I41" s="141">
        <f t="shared" si="6"/>
        <v>1.6684291506238295E-2</v>
      </c>
      <c r="K41" s="141">
        <f>PARAMETERS!$B$18*D41*H41</f>
        <v>77.670755949298652</v>
      </c>
      <c r="L41" s="141">
        <f t="shared" si="3"/>
        <v>2.9630447367449211E-2</v>
      </c>
      <c r="M41" s="28">
        <f>PARAMETERS!$B$21*EFFICIENCY!H41</f>
        <v>9.2859564722975438</v>
      </c>
      <c r="N41" s="13">
        <f>N40+M40+PARAMETERS!$B$14</f>
        <v>580.6933421992909</v>
      </c>
      <c r="O41" s="4">
        <f>PARAMETERS!$B$9*N41</f>
        <v>1.271591260290418</v>
      </c>
      <c r="P41" s="4">
        <f>MAX(PARAMETERS!$B$6,PARAMETERS!$B$6+PARAMETERS!$B$10*(O41-PARAMETERS!$B$11))</f>
        <v>0.03</v>
      </c>
      <c r="Q41" s="4">
        <f t="shared" si="0"/>
        <v>2.4846019736437195</v>
      </c>
      <c r="S41" s="23">
        <v>515.37058421251368</v>
      </c>
      <c r="T41" s="4">
        <f t="shared" si="4"/>
        <v>7.4538059209311586E-2</v>
      </c>
      <c r="U41" s="148">
        <f t="shared" si="1"/>
        <v>1042.0281500916208</v>
      </c>
    </row>
    <row r="42" spans="1:21" ht="20.149999999999999" customHeight="1" x14ac:dyDescent="0.35">
      <c r="A42" s="1">
        <f t="shared" si="2"/>
        <v>2016</v>
      </c>
      <c r="C42" s="13">
        <f>C41+PARAMETERS!$B$5*PARAMETERS!$B$24*K41-P41*C41</f>
        <v>203.8517429661791</v>
      </c>
      <c r="D42" s="4">
        <f>PARAMETERS!$B$19*C42^PARAMETERS!$B$20</f>
        <v>0.12890847366164673</v>
      </c>
      <c r="E42" s="4">
        <f t="shared" si="5"/>
        <v>1.273370304761033E-2</v>
      </c>
      <c r="G42" s="141">
        <f>G41+PARAMETERS!$B$5*(1-PARAMETERS!$B$24)*K41-P41*G41</f>
        <v>869.05216738213187</v>
      </c>
      <c r="H42" s="141">
        <f>PARAMETERS!$B$22*G42^(1-PARAMETERS!$B$20)</f>
        <v>523.9691772732557</v>
      </c>
      <c r="I42" s="141">
        <f t="shared" si="6"/>
        <v>1.6684291506238506E-2</v>
      </c>
      <c r="K42" s="141">
        <f>PARAMETERS!$B$18*D42*H42</f>
        <v>79.972175195444308</v>
      </c>
      <c r="L42" s="141">
        <f t="shared" si="3"/>
        <v>2.9630447367448819E-2</v>
      </c>
      <c r="M42" s="28">
        <f>PARAMETERS!$B$21*EFFICIENCY!H42</f>
        <v>9.4408860769955982</v>
      </c>
      <c r="N42" s="13">
        <f>N41+M41+PARAMETERS!$B$14</f>
        <v>591.47929867158848</v>
      </c>
      <c r="O42" s="4">
        <f>PARAMETERS!$B$9*N42</f>
        <v>1.2952101430764713</v>
      </c>
      <c r="P42" s="4">
        <f>MAX(PARAMETERS!$B$6,PARAMETERS!$B$6+PARAMETERS!$B$10*(O42-PARAMETERS!$B$11))</f>
        <v>0.03</v>
      </c>
      <c r="Q42" s="4">
        <f t="shared" si="0"/>
        <v>2.4846019736437186</v>
      </c>
      <c r="S42" s="23">
        <v>523.9691772732557</v>
      </c>
      <c r="T42" s="4">
        <f t="shared" si="4"/>
        <v>7.4538059209311558E-2</v>
      </c>
      <c r="U42" s="148">
        <f t="shared" si="1"/>
        <v>1072.903910348311</v>
      </c>
    </row>
    <row r="43" spans="1:21" ht="20.149999999999999" customHeight="1" x14ac:dyDescent="0.35">
      <c r="A43" s="1">
        <f t="shared" si="2"/>
        <v>2017</v>
      </c>
      <c r="C43" s="13">
        <f>C42+PARAMETERS!$B$5*PARAMETERS!$B$24*K42-P42*C42</f>
        <v>209.89196130690127</v>
      </c>
      <c r="D43" s="4">
        <f>PARAMETERS!$B$19*C43^PARAMETERS!$B$20</f>
        <v>0.13054995588557489</v>
      </c>
      <c r="E43" s="4">
        <f t="shared" si="5"/>
        <v>1.273370304761069E-2</v>
      </c>
      <c r="G43" s="141">
        <f>G42+PARAMETERS!$B$5*(1-PARAMETERS!$B$24)*K42-P42*G42</f>
        <v>894.80257188731582</v>
      </c>
      <c r="H43" s="141">
        <f>PARAMETERS!$B$22*G43^(1-PARAMETERS!$B$20)</f>
        <v>532.71123176716674</v>
      </c>
      <c r="I43" s="141">
        <f t="shared" si="6"/>
        <v>1.6684291506238666E-2</v>
      </c>
      <c r="K43" s="141">
        <f>PARAMETERS!$B$18*D43*H43</f>
        <v>82.341786523433385</v>
      </c>
      <c r="L43" s="141">
        <f t="shared" si="3"/>
        <v>2.9630447367449672E-2</v>
      </c>
      <c r="M43" s="28">
        <f>PARAMETERS!$B$21*EFFICIENCY!H43</f>
        <v>9.598400572381383</v>
      </c>
      <c r="N43" s="13">
        <f>N42+M42+PARAMETERS!$B$14</f>
        <v>602.42018474858412</v>
      </c>
      <c r="O43" s="4">
        <f>PARAMETERS!$B$9*N43</f>
        <v>1.3191682877706223</v>
      </c>
      <c r="P43" s="4">
        <f>MAX(PARAMETERS!$B$6,PARAMETERS!$B$6+PARAMETERS!$B$10*(O43-PARAMETERS!$B$11))</f>
        <v>0.03</v>
      </c>
      <c r="Q43" s="4">
        <f t="shared" si="0"/>
        <v>2.4846019736437199</v>
      </c>
      <c r="S43" s="23">
        <v>532.71123176716674</v>
      </c>
      <c r="T43" s="4">
        <f t="shared" si="4"/>
        <v>7.45380592093116E-2</v>
      </c>
      <c r="U43" s="148">
        <f t="shared" si="1"/>
        <v>1104.694533194217</v>
      </c>
    </row>
    <row r="44" spans="1:21" ht="20.149999999999999" customHeight="1" x14ac:dyDescent="0.35">
      <c r="A44" s="1">
        <f t="shared" si="2"/>
        <v>2018</v>
      </c>
      <c r="C44" s="13">
        <f>C43+PARAMETERS!$B$5*PARAMETERS!$B$24*K43-P43*C43</f>
        <v>216.11115401925611</v>
      </c>
      <c r="D44" s="4">
        <f>PARAMETERS!$B$19*C44^PARAMETERS!$B$20</f>
        <v>0.13221234025670045</v>
      </c>
      <c r="E44" s="4">
        <f t="shared" si="5"/>
        <v>1.2733703047610519E-2</v>
      </c>
      <c r="G44" s="141">
        <f>G43+PARAMETERS!$B$5*(1-PARAMETERS!$B$24)*K43-P43*G43</f>
        <v>921.31597239788118</v>
      </c>
      <c r="H44" s="141">
        <f>PARAMETERS!$B$22*G44^(1-PARAMETERS!$B$20)</f>
        <v>541.59914124661748</v>
      </c>
      <c r="I44" s="141">
        <f t="shared" si="6"/>
        <v>1.6684291506238409E-2</v>
      </c>
      <c r="K44" s="141">
        <f>PARAMETERS!$B$18*D44*H44</f>
        <v>84.781610495157722</v>
      </c>
      <c r="L44" s="141">
        <f t="shared" si="3"/>
        <v>2.9630447367449277E-2</v>
      </c>
      <c r="M44" s="28">
        <f>PARAMETERS!$B$21*EFFICIENCY!H44</f>
        <v>9.7585430855246393</v>
      </c>
      <c r="N44" s="13">
        <f>N43+M43+PARAMETERS!$B$14</f>
        <v>613.51858532096549</v>
      </c>
      <c r="O44" s="4">
        <f>PARAMETERS!$B$9*N44</f>
        <v>1.3434713547174428</v>
      </c>
      <c r="P44" s="4">
        <f>MAX(PARAMETERS!$B$6,PARAMETERS!$B$6+PARAMETERS!$B$10*(O44-PARAMETERS!$B$11))</f>
        <v>0.03</v>
      </c>
      <c r="Q44" s="4">
        <f t="shared" si="0"/>
        <v>2.4846019736437199</v>
      </c>
      <c r="S44" s="23">
        <v>541.59914124661748</v>
      </c>
      <c r="T44" s="4">
        <f t="shared" si="4"/>
        <v>7.45380592093116E-2</v>
      </c>
      <c r="U44" s="148">
        <f t="shared" si="1"/>
        <v>1137.4271264171373</v>
      </c>
    </row>
    <row r="45" spans="1:21" ht="20.149999999999999" customHeight="1" x14ac:dyDescent="0.35">
      <c r="A45" s="1">
        <f t="shared" si="2"/>
        <v>2019</v>
      </c>
      <c r="C45" s="13">
        <f>C44+PARAMETERS!$B$5*PARAMETERS!$B$24*K44-P44*C44</f>
        <v>222.51462419394238</v>
      </c>
      <c r="D45" s="4">
        <f>PARAMETERS!$B$19*C45^PARAMETERS!$B$20</f>
        <v>0.13389589293675896</v>
      </c>
      <c r="E45" s="4">
        <f t="shared" si="5"/>
        <v>1.2733703047610888E-2</v>
      </c>
      <c r="G45" s="141">
        <f>G44+PARAMETERS!$B$5*(1-PARAMETERS!$B$24)*K44-P44*G44</f>
        <v>948.61497682680704</v>
      </c>
      <c r="H45" s="141">
        <f>PARAMETERS!$B$22*G45^(1-PARAMETERS!$B$20)</f>
        <v>550.6353391987044</v>
      </c>
      <c r="I45" s="141">
        <f t="shared" si="6"/>
        <v>1.6684291506238347E-2</v>
      </c>
      <c r="K45" s="141">
        <f>PARAMETERS!$B$18*D45*H45</f>
        <v>87.293727542662083</v>
      </c>
      <c r="L45" s="141">
        <f t="shared" si="3"/>
        <v>2.9630447367449339E-2</v>
      </c>
      <c r="M45" s="28">
        <f>PARAMETERS!$B$21*EFFICIENCY!H45</f>
        <v>9.921357463039719</v>
      </c>
      <c r="N45" s="13">
        <f>N44+M44+PARAMETERS!$B$14</f>
        <v>624.77712840649008</v>
      </c>
      <c r="O45" s="4">
        <f>PARAMETERS!$B$9*N45</f>
        <v>1.3681250987003433</v>
      </c>
      <c r="P45" s="4">
        <f>MAX(PARAMETERS!$B$6,PARAMETERS!$B$6+PARAMETERS!$B$10*(O45-PARAMETERS!$B$11))</f>
        <v>0.03</v>
      </c>
      <c r="Q45" s="4">
        <f t="shared" si="0"/>
        <v>2.4846019736437199</v>
      </c>
      <c r="S45" s="23">
        <v>550.6353391987044</v>
      </c>
      <c r="T45" s="4">
        <f t="shared" si="4"/>
        <v>7.45380592093116E-2</v>
      </c>
      <c r="U45" s="148">
        <f t="shared" si="1"/>
        <v>1171.1296010207493</v>
      </c>
    </row>
    <row r="46" spans="1:21" ht="20.149999999999999" customHeight="1" x14ac:dyDescent="0.35">
      <c r="A46" s="39">
        <f t="shared" ref="A46:A109" si="7">A45+1</f>
        <v>2020</v>
      </c>
      <c r="C46" s="137">
        <f>C45+PARAMETERS!$B$5*PARAMETERS!$B$25*K45-P45*C45</f>
        <v>242.37647864109337</v>
      </c>
      <c r="D46" s="38">
        <f>PARAMETERS!$B$19*C46^PARAMETERS!$B$20</f>
        <v>0.13894974408628721</v>
      </c>
      <c r="E46" s="38">
        <f t="shared" si="5"/>
        <v>3.774463158414619E-2</v>
      </c>
      <c r="G46" s="47">
        <f>G45+PARAMETERS!$B$5*(1-PARAMETERS!$B$25)*K45-P45*G45</f>
        <v>963.45421638316327</v>
      </c>
      <c r="H46" s="47">
        <f>PARAMETERS!$B$22*G46^(1-PARAMETERS!$B$20)</f>
        <v>555.49996998025961</v>
      </c>
      <c r="I46" s="47">
        <f t="shared" si="6"/>
        <v>8.8345778689655381E-3</v>
      </c>
      <c r="K46" s="47">
        <f>PARAMETERS!$B$18*D46*H46</f>
        <v>91.388909143737607</v>
      </c>
      <c r="L46" s="47">
        <f t="shared" si="3"/>
        <v>4.6912667339977336E-2</v>
      </c>
      <c r="M46" s="28">
        <f>PARAMETERS!$B$21*EFFICIENCY!H46</f>
        <v>10.009008468112786</v>
      </c>
      <c r="N46" s="137">
        <f>N45+M45</f>
        <v>634.6984858695298</v>
      </c>
      <c r="O46" s="38">
        <f>PARAMETERS!$B$9*N46</f>
        <v>1.389850698984372</v>
      </c>
      <c r="P46" s="38">
        <f>MAX(PARAMETERS!$B$6,PARAMETERS!$B$6+PARAMETERS!$B$10*(O46-PARAMETERS!$B$11))</f>
        <v>0.03</v>
      </c>
      <c r="Q46" s="38">
        <f t="shared" si="0"/>
        <v>2.5263057110987215</v>
      </c>
      <c r="R46" s="39"/>
      <c r="S46" s="137">
        <v>559.82229971153208</v>
      </c>
      <c r="T46" s="4">
        <f t="shared" si="4"/>
        <v>7.5789171332961647E-2</v>
      </c>
      <c r="U46" s="148">
        <f t="shared" si="1"/>
        <v>1205.8306950242566</v>
      </c>
    </row>
    <row r="47" spans="1:21" ht="20.149999999999999" customHeight="1" x14ac:dyDescent="0.35">
      <c r="A47" s="1">
        <f t="shared" si="7"/>
        <v>2021</v>
      </c>
      <c r="C47" s="13">
        <f>C46+PARAMETERS!$B$5*PARAMETERS!$B$25*K46-P46*C46</f>
        <v>262.88741266155682</v>
      </c>
      <c r="D47" s="4">
        <f>PARAMETERS!$B$19*C47^PARAMETERS!$B$20</f>
        <v>0.14392805510227599</v>
      </c>
      <c r="E47" s="4">
        <f t="shared" ref="E47:E110" si="8">(D47-D46)/D46</f>
        <v>3.5828140949272051E-2</v>
      </c>
      <c r="G47" s="141">
        <f>G46+PARAMETERS!$B$5*(1-PARAMETERS!$B$25)*K46-P46*G46</f>
        <v>979.87948882696219</v>
      </c>
      <c r="H47" s="141">
        <f>PARAMETERS!$B$22*G47^(1-PARAMETERS!$B$20)</f>
        <v>560.84683252120089</v>
      </c>
      <c r="I47" s="141">
        <f t="shared" ref="I47:I110" si="9">(H47-H46)/H46</f>
        <v>9.6253156253659124E-3</v>
      </c>
      <c r="K47" s="141">
        <f>PARAMETERS!$B$18*D47*H47</f>
        <v>95.574367077017257</v>
      </c>
      <c r="L47" s="141">
        <f t="shared" ref="L47:L110" si="10">(K47-K46)/K46</f>
        <v>4.5798313739544808E-2</v>
      </c>
      <c r="M47" s="28">
        <f>PARAMETERS!$B$21*EFFICIENCY!H47</f>
        <v>10.105348333715332</v>
      </c>
      <c r="N47" s="13">
        <f t="shared" ref="N47:N110" si="11">N46+M46</f>
        <v>644.70749433764263</v>
      </c>
      <c r="O47" s="4">
        <f>PARAMETERS!$B$9*N47</f>
        <v>1.4117682357758599</v>
      </c>
      <c r="P47" s="4">
        <f>MAX(PARAMETERS!$B$6,PARAMETERS!$B$6+PARAMETERS!$B$10*(O47-PARAMETERS!$B$11))</f>
        <v>0.03</v>
      </c>
      <c r="Q47" s="4">
        <f t="shared" ref="Q47:Q110" si="12">K47/(C47+G47)/P47</f>
        <v>2.563483330691203</v>
      </c>
      <c r="S47" s="23">
        <v>569.16253815161224</v>
      </c>
      <c r="T47" s="4">
        <f t="shared" si="4"/>
        <v>7.6904499920736086E-2</v>
      </c>
      <c r="U47" s="148">
        <f t="shared" si="1"/>
        <v>1242.7669014885191</v>
      </c>
    </row>
    <row r="48" spans="1:21" ht="20.149999999999999" customHeight="1" x14ac:dyDescent="0.35">
      <c r="A48" s="1">
        <f t="shared" si="7"/>
        <v>2022</v>
      </c>
      <c r="C48" s="13">
        <f>C47+PARAMETERS!$B$5*PARAMETERS!$B$25*K47-P47*C47</f>
        <v>284.05539787312335</v>
      </c>
      <c r="D48" s="4">
        <f>PARAMETERS!$B$19*C48^PARAMETERS!$B$20</f>
        <v>0.14884007050468184</v>
      </c>
      <c r="E48" s="4">
        <f t="shared" si="8"/>
        <v>3.4128269147494193E-2</v>
      </c>
      <c r="G48" s="141">
        <f>G47+PARAMETERS!$B$5*(1-PARAMETERS!$B$25)*K47-P47*G47</f>
        <v>997.88799023235379</v>
      </c>
      <c r="H48" s="141">
        <f>PARAMETERS!$B$22*G48^(1-PARAMETERS!$B$20)</f>
        <v>566.66463706235561</v>
      </c>
      <c r="I48" s="141">
        <f t="shared" si="9"/>
        <v>1.0373250241962974E-2</v>
      </c>
      <c r="K48" s="141">
        <f>PARAMETERS!$B$18*D48*H48</f>
        <v>99.861406966919205</v>
      </c>
      <c r="L48" s="141">
        <f t="shared" si="10"/>
        <v>4.4855540465649088E-2</v>
      </c>
      <c r="M48" s="28">
        <f>PARAMETERS!$B$21*EFFICIENCY!H48</f>
        <v>10.210173640763164</v>
      </c>
      <c r="N48" s="13">
        <f t="shared" si="11"/>
        <v>654.812842671358</v>
      </c>
      <c r="O48" s="4">
        <f>PARAMETERS!$B$9*N48</f>
        <v>1.4338967357766965</v>
      </c>
      <c r="P48" s="4">
        <f>MAX(PARAMETERS!$B$6,PARAMETERS!$B$6+PARAMETERS!$B$10*(O48-PARAMETERS!$B$11))</f>
        <v>0.03</v>
      </c>
      <c r="Q48" s="4">
        <f t="shared" si="12"/>
        <v>2.5966151051984596</v>
      </c>
      <c r="S48" s="23">
        <v>578.65861185256426</v>
      </c>
      <c r="T48" s="4">
        <f t="shared" si="4"/>
        <v>7.7898453155953784E-2</v>
      </c>
      <c r="U48" s="148">
        <f t="shared" si="1"/>
        <v>1281.9433881054772</v>
      </c>
    </row>
    <row r="49" spans="1:24" ht="20.149999999999999" customHeight="1" x14ac:dyDescent="0.35">
      <c r="A49" s="1">
        <f t="shared" si="7"/>
        <v>2023</v>
      </c>
      <c r="C49" s="13">
        <f>C48+PARAMETERS!$B$5*PARAMETERS!$B$25*K48-P48*C48</f>
        <v>305.89160365487311</v>
      </c>
      <c r="D49" s="4">
        <f>PARAMETERS!$B$19*C49^PARAMETERS!$B$20</f>
        <v>0.15369432123811502</v>
      </c>
      <c r="E49" s="4">
        <f t="shared" si="8"/>
        <v>3.2613870155889818E-2</v>
      </c>
      <c r="G49" s="141">
        <f>G48+PARAMETERS!$B$5*(1-PARAMETERS!$B$25)*K48-P48*G48</f>
        <v>1017.4826083809752</v>
      </c>
      <c r="H49" s="141">
        <f>PARAMETERS!$B$22*G49^(1-PARAMETERS!$B$20)</f>
        <v>572.94340378826723</v>
      </c>
      <c r="I49" s="141">
        <f t="shared" si="9"/>
        <v>1.1080216260646435E-2</v>
      </c>
      <c r="K49" s="141">
        <f>PARAMETERS!$B$18*D49*H49</f>
        <v>104.2608467028621</v>
      </c>
      <c r="L49" s="141">
        <f t="shared" si="10"/>
        <v>4.4055455150960182E-2</v>
      </c>
      <c r="M49" s="28">
        <f>PARAMETERS!$B$21*EFFICIENCY!H49</f>
        <v>10.323304572761572</v>
      </c>
      <c r="N49" s="13">
        <f t="shared" si="11"/>
        <v>665.02301631212117</v>
      </c>
      <c r="O49" s="4">
        <f>PARAMETERS!$B$9*N49</f>
        <v>1.456254780245521</v>
      </c>
      <c r="P49" s="4">
        <f>MAX(PARAMETERS!$B$6,PARAMETERS!$B$6+PARAMETERS!$B$10*(O49-PARAMETERS!$B$11))</f>
        <v>0.03</v>
      </c>
      <c r="Q49" s="4">
        <f t="shared" si="12"/>
        <v>2.6261366778604924</v>
      </c>
      <c r="S49" s="23">
        <v>588.31312081530791</v>
      </c>
      <c r="T49" s="4">
        <f t="shared" si="4"/>
        <v>7.8784100335814775E-2</v>
      </c>
      <c r="U49" s="148">
        <f t="shared" si="1"/>
        <v>1323.3742120358484</v>
      </c>
      <c r="W49" s="6"/>
    </row>
    <row r="50" spans="1:24" ht="20.149999999999999" customHeight="1" x14ac:dyDescent="0.35">
      <c r="A50" s="1">
        <f t="shared" si="7"/>
        <v>2024</v>
      </c>
      <c r="C50" s="13">
        <f>C49+PARAMETERS!$B$5*PARAMETERS!$B$25*K49-P49*C49</f>
        <v>328.41015294289696</v>
      </c>
      <c r="D50" s="4">
        <f>PARAMETERS!$B$19*C50^PARAMETERS!$B$20</f>
        <v>0.15849870909731792</v>
      </c>
      <c r="E50" s="4">
        <f t="shared" si="8"/>
        <v>3.1259371332006278E-2</v>
      </c>
      <c r="G50" s="141">
        <f>G49+PARAMETERS!$B$5*(1-PARAMETERS!$B$25)*K49-P49*G49</f>
        <v>1038.6715100941656</v>
      </c>
      <c r="H50" s="141">
        <f>PARAMETERS!$B$22*G50^(1-PARAMETERS!$B$20)</f>
        <v>579.67435110755184</v>
      </c>
      <c r="I50" s="141">
        <f t="shared" si="9"/>
        <v>1.1748014332270853E-2</v>
      </c>
      <c r="K50" s="141">
        <f>PARAMETERS!$B$18*D50*H50</f>
        <v>108.7831214352889</v>
      </c>
      <c r="L50" s="141">
        <f t="shared" si="10"/>
        <v>4.3374621206703344E-2</v>
      </c>
      <c r="M50" s="28">
        <f>PARAMETERS!$B$21*EFFICIENCY!H50</f>
        <v>10.444582902838771</v>
      </c>
      <c r="N50" s="13">
        <f t="shared" si="11"/>
        <v>675.34632088488274</v>
      </c>
      <c r="O50" s="4">
        <f>PARAMETERS!$B$9*N50</f>
        <v>1.478860556682225</v>
      </c>
      <c r="P50" s="4">
        <f>MAX(PARAMETERS!$B$6,PARAMETERS!$B$6+PARAMETERS!$B$10*(O50-PARAMETERS!$B$11))</f>
        <v>0.03</v>
      </c>
      <c r="Q50" s="4">
        <f t="shared" si="12"/>
        <v>2.6524414348352341</v>
      </c>
      <c r="S50" s="13">
        <v>598.12870841993538</v>
      </c>
      <c r="T50" s="4">
        <f t="shared" si="4"/>
        <v>7.9573243045057016E-2</v>
      </c>
      <c r="U50" s="148">
        <f t="shared" si="1"/>
        <v>1367.0816630370625</v>
      </c>
      <c r="W50" s="6"/>
      <c r="X50" s="6"/>
    </row>
    <row r="51" spans="1:24" ht="20.149999999999999" customHeight="1" x14ac:dyDescent="0.35">
      <c r="A51" s="1">
        <f t="shared" si="7"/>
        <v>2025</v>
      </c>
      <c r="C51" s="13">
        <f>C50+PARAMETERS!$B$5*PARAMETERS!$B$25*K50-P50*C50</f>
        <v>351.62791727093787</v>
      </c>
      <c r="D51" s="4">
        <f>PARAMETERS!$B$19*C51^PARAMETERS!$B$20</f>
        <v>0.16326057854358161</v>
      </c>
      <c r="E51" s="4">
        <f t="shared" si="8"/>
        <v>3.0043585044846739E-2</v>
      </c>
      <c r="G51" s="141">
        <f>G50+PARAMETERS!$B$5*(1-PARAMETERS!$B$25)*K50-P50*G50</f>
        <v>1061.467793023244</v>
      </c>
      <c r="H51" s="141">
        <f>PARAMETERS!$B$22*G51^(1-PARAMETERS!$B$20)</f>
        <v>586.84979736844048</v>
      </c>
      <c r="I51" s="141">
        <f t="shared" si="9"/>
        <v>1.2378409096726299E-2</v>
      </c>
      <c r="K51" s="141">
        <f>PARAMETERS!$B$18*D51*H51</f>
        <v>113.43837392488139</v>
      </c>
      <c r="L51" s="141">
        <f t="shared" si="10"/>
        <v>4.2793885927990438E-2</v>
      </c>
      <c r="M51" s="28">
        <f>PARAMETERS!$B$21*EFFICIENCY!H51</f>
        <v>10.573870222854783</v>
      </c>
      <c r="N51" s="13">
        <f t="shared" si="11"/>
        <v>685.7909037877215</v>
      </c>
      <c r="O51" s="4">
        <f>PARAMETERS!$B$9*N51</f>
        <v>1.5017319061044998</v>
      </c>
      <c r="P51" s="4">
        <f>MAX(PARAMETERS!$B$6,PARAMETERS!$B$6+PARAMETERS!$B$10*(O51-PARAMETERS!$B$11))</f>
        <v>3.0025978591567495E-2</v>
      </c>
      <c r="Q51" s="4">
        <f t="shared" si="12"/>
        <v>2.6735680578000998</v>
      </c>
      <c r="S51" s="23">
        <v>608.10806214946365</v>
      </c>
      <c r="T51" s="4">
        <f t="shared" si="4"/>
        <v>8.0276497266604477E-2</v>
      </c>
      <c r="U51" s="148">
        <f t="shared" si="1"/>
        <v>1413.0957102941818</v>
      </c>
      <c r="W51" s="6"/>
      <c r="X51" s="6"/>
    </row>
    <row r="52" spans="1:24" ht="20.149999999999999" customHeight="1" x14ac:dyDescent="0.35">
      <c r="A52" s="1">
        <f t="shared" si="7"/>
        <v>2026</v>
      </c>
      <c r="C52" s="13">
        <f>C51+PARAMETERS!$B$5*PARAMETERS!$B$25*K51-P51*C51</f>
        <v>375.55521062792718</v>
      </c>
      <c r="D52" s="4">
        <f>PARAMETERS!$B$19*C52^PARAMETERS!$B$20</f>
        <v>0.16798500762753291</v>
      </c>
      <c r="E52" s="4">
        <f t="shared" si="8"/>
        <v>2.893796607911768E-2</v>
      </c>
      <c r="G52" s="141">
        <f>G51+PARAMETERS!$B$5*(1-PARAMETERS!$B$25)*K51-P51*G51</f>
        <v>1085.8616172610307</v>
      </c>
      <c r="H52" s="141">
        <f>PARAMETERS!$B$22*G52^(1-PARAMETERS!$B$20)</f>
        <v>594.4545196637373</v>
      </c>
      <c r="I52" s="141">
        <f t="shared" si="9"/>
        <v>1.2958549750546083E-2</v>
      </c>
      <c r="K52" s="141">
        <f>PARAMETERS!$B$18*D52*H52</f>
        <v>118.23358527160222</v>
      </c>
      <c r="L52" s="141">
        <f t="shared" si="10"/>
        <v>4.2271509902779551E-2</v>
      </c>
      <c r="M52" s="28">
        <f>PARAMETERS!$B$21*EFFICIENCY!H52</f>
        <v>10.710892246193465</v>
      </c>
      <c r="N52" s="13">
        <f t="shared" si="11"/>
        <v>696.3647740105763</v>
      </c>
      <c r="O52" s="4">
        <f>PARAMETERS!$B$9*N52</f>
        <v>1.5248863664465175</v>
      </c>
      <c r="P52" s="4">
        <f>MAX(PARAMETERS!$B$6,PARAMETERS!$B$6+PARAMETERS!$B$10*(O52-PARAMETERS!$B$11))</f>
        <v>3.0373295496697761E-2</v>
      </c>
      <c r="Q52" s="4">
        <f t="shared" si="12"/>
        <v>2.663635779691679</v>
      </c>
      <c r="S52" s="23">
        <v>618.2437787393726</v>
      </c>
      <c r="T52" s="4">
        <f t="shared" si="4"/>
        <v>8.0903396632152305E-2</v>
      </c>
      <c r="U52" s="148">
        <f t="shared" si="1"/>
        <v>1461.4168278889579</v>
      </c>
      <c r="X52" s="6"/>
    </row>
    <row r="53" spans="1:24" ht="20.149999999999999" customHeight="1" x14ac:dyDescent="0.35">
      <c r="A53" s="1">
        <f t="shared" si="7"/>
        <v>2027</v>
      </c>
      <c r="C53" s="13">
        <f>C52+PARAMETERS!$B$5*PARAMETERS!$B$25*K52-P52*C52</f>
        <v>400.09137116276764</v>
      </c>
      <c r="D53" s="4">
        <f>PARAMETERS!$B$19*C53^PARAMETERS!$B$20</f>
        <v>0.17265567607278298</v>
      </c>
      <c r="E53" s="4">
        <f t="shared" si="8"/>
        <v>2.7804079133098476E-2</v>
      </c>
      <c r="G53" s="141">
        <f>G52+PARAMETERS!$B$5*(1-PARAMETERS!$B$25)*K52-P52*G52</f>
        <v>1111.5242797861538</v>
      </c>
      <c r="H53" s="141">
        <f>PARAMETERS!$B$22*G53^(1-PARAMETERS!$B$20)</f>
        <v>602.37531622703932</v>
      </c>
      <c r="I53" s="141">
        <f t="shared" si="9"/>
        <v>1.3324478662863131E-2</v>
      </c>
      <c r="K53" s="141">
        <f>PARAMETERS!$B$18*D53*H53</f>
        <v>123.14016468771931</v>
      </c>
      <c r="L53" s="141">
        <f t="shared" si="10"/>
        <v>4.1499032655111096E-2</v>
      </c>
      <c r="M53" s="28">
        <f>PARAMETERS!$B$21*EFFICIENCY!H53</f>
        <v>10.853609301388095</v>
      </c>
      <c r="N53" s="13">
        <f t="shared" si="11"/>
        <v>707.07566625676975</v>
      </c>
      <c r="O53" s="4">
        <f>PARAMETERS!$B$9*N53</f>
        <v>1.5483408750148244</v>
      </c>
      <c r="P53" s="4">
        <f>MAX(PARAMETERS!$B$6,PARAMETERS!$B$6+PARAMETERS!$B$10*(O53-PARAMETERS!$B$11))</f>
        <v>3.0725113125222366E-2</v>
      </c>
      <c r="Q53" s="4">
        <f t="shared" si="12"/>
        <v>2.6513365550338999</v>
      </c>
      <c r="S53" s="23">
        <v>628.45044955241417</v>
      </c>
      <c r="T53" s="4">
        <f t="shared" si="4"/>
        <v>8.1462615586453929E-2</v>
      </c>
      <c r="U53" s="148">
        <f t="shared" si="1"/>
        <v>1511.6156509489215</v>
      </c>
    </row>
    <row r="54" spans="1:24" ht="20.149999999999999" customHeight="1" x14ac:dyDescent="0.35">
      <c r="A54" s="1">
        <f t="shared" si="7"/>
        <v>2028</v>
      </c>
      <c r="C54" s="13">
        <f>C53+PARAMETERS!$B$5*PARAMETERS!$B$25*K53-P53*C53</f>
        <v>425.23312858843298</v>
      </c>
      <c r="D54" s="4">
        <f>PARAMETERS!$B$19*C54^PARAMETERS!$B$20</f>
        <v>0.17727613991488103</v>
      </c>
      <c r="E54" s="4">
        <f t="shared" si="8"/>
        <v>2.676114650380966E-2</v>
      </c>
      <c r="G54" s="141">
        <f>G53+PARAMETERS!$B$5*(1-PARAMETERS!$B$25)*K53-P53*G53</f>
        <v>1138.4500922334018</v>
      </c>
      <c r="H54" s="141">
        <f>PARAMETERS!$B$22*G54^(1-PARAMETERS!$B$20)</f>
        <v>610.60125360952634</v>
      </c>
      <c r="I54" s="141">
        <f t="shared" si="9"/>
        <v>1.3655834096938007E-2</v>
      </c>
      <c r="K54" s="141">
        <f>PARAMETERS!$B$18*D54*H54</f>
        <v>128.16211938822761</v>
      </c>
      <c r="L54" s="141">
        <f t="shared" si="10"/>
        <v>4.0782426377647514E-2</v>
      </c>
      <c r="M54" s="28">
        <f>PARAMETERS!$B$21*EFFICIENCY!H54</f>
        <v>11.001824389360834</v>
      </c>
      <c r="N54" s="13">
        <f t="shared" si="11"/>
        <v>717.92927555815788</v>
      </c>
      <c r="O54" s="4">
        <f>PARAMETERS!$B$9*N54</f>
        <v>1.5721079026820977</v>
      </c>
      <c r="P54" s="4">
        <f>MAX(PARAMETERS!$B$6,PARAMETERS!$B$6+PARAMETERS!$B$10*(O54-PARAMETERS!$B$11))</f>
        <v>3.1081618540231462E-2</v>
      </c>
      <c r="Q54" s="4">
        <f t="shared" si="12"/>
        <v>2.6369826875114226</v>
      </c>
      <c r="S54" s="23">
        <v>638.72434966203127</v>
      </c>
      <c r="T54" s="4">
        <f t="shared" si="4"/>
        <v>8.1961689990424427E-2</v>
      </c>
      <c r="U54" s="148">
        <f t="shared" si="1"/>
        <v>1563.6832208218348</v>
      </c>
    </row>
    <row r="55" spans="1:24" ht="20.149999999999999" customHeight="1" x14ac:dyDescent="0.35">
      <c r="A55" s="1">
        <f t="shared" si="7"/>
        <v>2029</v>
      </c>
      <c r="C55" s="13">
        <f>C54+PARAMETERS!$B$5*PARAMETERS!$B$25*K54-P54*C54</f>
        <v>450.97747898899928</v>
      </c>
      <c r="D55" s="4">
        <f>PARAMETERS!$B$19*C55^PARAMETERS!$B$20</f>
        <v>0.18184958622007324</v>
      </c>
      <c r="E55" s="4">
        <f t="shared" si="8"/>
        <v>2.5798431234954403E-2</v>
      </c>
      <c r="G55" s="141">
        <f>G54+PARAMETERS!$B$5*(1-PARAMETERS!$B$25)*K54-P54*G54</f>
        <v>1166.6336319560728</v>
      </c>
      <c r="H55" s="141">
        <f>PARAMETERS!$B$22*G55^(1-PARAMETERS!$B$20)</f>
        <v>619.1216234256508</v>
      </c>
      <c r="I55" s="141">
        <f t="shared" si="9"/>
        <v>1.3954065383516479E-2</v>
      </c>
      <c r="K55" s="141">
        <f>PARAMETERS!$B$18*D55*H55</f>
        <v>133.30302107118783</v>
      </c>
      <c r="L55" s="141">
        <f t="shared" si="10"/>
        <v>4.0112489614715592E-2</v>
      </c>
      <c r="M55" s="28">
        <f>PARAMETERS!$B$21*EFFICIENCY!H55</f>
        <v>11.155344566227942</v>
      </c>
      <c r="N55" s="13">
        <f t="shared" si="11"/>
        <v>728.93109994751876</v>
      </c>
      <c r="O55" s="4">
        <f>PARAMETERS!$B$9*N55</f>
        <v>1.5961994889361726</v>
      </c>
      <c r="P55" s="4">
        <f>MAX(PARAMETERS!$B$6,PARAMETERS!$B$6+PARAMETERS!$B$10*(O55-PARAMETERS!$B$11))</f>
        <v>3.1442992334042588E-2</v>
      </c>
      <c r="Q55" s="4">
        <f t="shared" si="12"/>
        <v>2.6208490064181982</v>
      </c>
      <c r="S55" s="23">
        <v>649.06156564081971</v>
      </c>
      <c r="T55" s="4">
        <f t="shared" si="4"/>
        <v>8.2407335217490538E-2</v>
      </c>
      <c r="U55" s="148">
        <f t="shared" si="1"/>
        <v>1617.6111109450721</v>
      </c>
    </row>
    <row r="56" spans="1:24" ht="20.149999999999999" customHeight="1" x14ac:dyDescent="0.35">
      <c r="A56" s="1">
        <f t="shared" si="7"/>
        <v>2030</v>
      </c>
      <c r="C56" s="13">
        <f>C55+PARAMETERS!$B$5*PARAMETERS!$B$25*K55-P55*C55</f>
        <v>477.32151597996341</v>
      </c>
      <c r="D56" s="4">
        <f>PARAMETERS!$B$19*C56^PARAMETERS!$B$20</f>
        <v>0.18637886033505138</v>
      </c>
      <c r="E56" s="4">
        <f t="shared" si="8"/>
        <v>2.4906705641314128E-2</v>
      </c>
      <c r="G56" s="141">
        <f>G55+PARAMETERS!$B$5*(1-PARAMETERS!$B$25)*K55-P55*G55</f>
        <v>1196.0694780611509</v>
      </c>
      <c r="H56" s="141">
        <f>PARAMETERS!$B$22*G56^(1-PARAMETERS!$B$20)</f>
        <v>627.92589224274366</v>
      </c>
      <c r="I56" s="141">
        <f t="shared" si="9"/>
        <v>1.4220580389969453E-2</v>
      </c>
      <c r="K56" s="141">
        <f>PARAMETERS!$B$18*D56*H56</f>
        <v>138.56602081055024</v>
      </c>
      <c r="L56" s="141">
        <f t="shared" si="10"/>
        <v>3.948147384110532E-2</v>
      </c>
      <c r="M56" s="28">
        <f>PARAMETERS!$B$21*EFFICIENCY!H56</f>
        <v>11.313980040409795</v>
      </c>
      <c r="N56" s="13">
        <f t="shared" si="11"/>
        <v>740.08644451374676</v>
      </c>
      <c r="O56" s="4">
        <f>PARAMETERS!$B$9*N56</f>
        <v>1.6206272507600294</v>
      </c>
      <c r="P56" s="4">
        <f>MAX(PARAMETERS!$B$6,PARAMETERS!$B$6+PARAMETERS!$B$10*(O56-PARAMETERS!$B$11))</f>
        <v>3.180940876140044E-2</v>
      </c>
      <c r="Q56" s="4">
        <f t="shared" si="12"/>
        <v>2.6031771363587151</v>
      </c>
      <c r="S56" s="23">
        <v>659.45799369739404</v>
      </c>
      <c r="T56" s="4">
        <f t="shared" si="4"/>
        <v>8.2805525608766223E-2</v>
      </c>
      <c r="U56" s="148">
        <f t="shared" si="1"/>
        <v>1673.3909940411143</v>
      </c>
    </row>
    <row r="57" spans="1:24" ht="20.149999999999999" customHeight="1" x14ac:dyDescent="0.35">
      <c r="A57" s="1">
        <f t="shared" si="7"/>
        <v>2031</v>
      </c>
      <c r="C57" s="13">
        <f>C56+PARAMETERS!$B$5*PARAMETERS!$B$25*K56-P56*C56</f>
        <v>504.26227109395273</v>
      </c>
      <c r="D57" s="4">
        <f>PARAMETERS!$B$19*C57^PARAMETERS!$B$20</f>
        <v>0.1908664896872147</v>
      </c>
      <c r="E57" s="4">
        <f t="shared" si="8"/>
        <v>2.4077995455578781E-2</v>
      </c>
      <c r="G57" s="141">
        <f>G56+PARAMETERS!$B$5*(1-PARAMETERS!$B$25)*K56-P56*G56</f>
        <v>1226.7519614485018</v>
      </c>
      <c r="H57" s="141">
        <f>PARAMETERS!$B$22*G57^(1-PARAMETERS!$B$20)</f>
        <v>637.00365579226184</v>
      </c>
      <c r="I57" s="141">
        <f t="shared" si="9"/>
        <v>1.4456743481456723E-2</v>
      </c>
      <c r="K57" s="141">
        <f>PARAMETERS!$B$18*D57*H57</f>
        <v>143.9538596116063</v>
      </c>
      <c r="L57" s="141">
        <f t="shared" si="10"/>
        <v>3.8882828340884558E-2</v>
      </c>
      <c r="M57" s="28">
        <f>PARAMETERS!$B$21*EFFICIENCY!H57</f>
        <v>11.477543347608322</v>
      </c>
      <c r="N57" s="13">
        <f t="shared" si="11"/>
        <v>751.40042455415653</v>
      </c>
      <c r="O57" s="4">
        <f>PARAMETERS!$B$9*N57</f>
        <v>1.6454023895346495</v>
      </c>
      <c r="P57" s="4">
        <f>MAX(PARAMETERS!$B$6,PARAMETERS!$B$6+PARAMETERS!$B$10*(O57-PARAMETERS!$B$11))</f>
        <v>3.2181035843019741E-2</v>
      </c>
      <c r="Q57" s="4">
        <f t="shared" si="12"/>
        <v>2.5841793734448206</v>
      </c>
      <c r="S57" s="23">
        <v>669.90933811240984</v>
      </c>
      <c r="T57" s="4">
        <f t="shared" si="4"/>
        <v>8.3161569041620073E-2</v>
      </c>
      <c r="U57" s="148">
        <f t="shared" si="1"/>
        <v>1731.0142325424545</v>
      </c>
    </row>
    <row r="58" spans="1:24" ht="20.149999999999999" customHeight="1" x14ac:dyDescent="0.35">
      <c r="A58" s="1">
        <f t="shared" si="7"/>
        <v>2032</v>
      </c>
      <c r="C58" s="13">
        <f>C57+PARAMETERS!$B$5*PARAMETERS!$B$25*K57-P57*C57</f>
        <v>531.79656219552407</v>
      </c>
      <c r="D58" s="4">
        <f>PARAMETERS!$B$19*C58^PARAMETERS!$B$20</f>
        <v>0.19531470467696221</v>
      </c>
      <c r="E58" s="4">
        <f t="shared" si="8"/>
        <v>2.3305374332797186E-2</v>
      </c>
      <c r="G58" s="141">
        <f>G57+PARAMETERS!$B$5*(1-PARAMETERS!$B$25)*K57-P57*G57</f>
        <v>1258.6749269739896</v>
      </c>
      <c r="H58" s="141">
        <f>PARAMETERS!$B$22*G58^(1-PARAMETERS!$B$20)</f>
        <v>646.34459704915764</v>
      </c>
      <c r="I58" s="141">
        <f t="shared" si="9"/>
        <v>1.4663873859998771E-2</v>
      </c>
      <c r="K58" s="141">
        <f>PARAMETERS!$B$18*D58*H58</f>
        <v>149.46887524517234</v>
      </c>
      <c r="L58" s="141">
        <f t="shared" si="10"/>
        <v>3.8310995262272135E-2</v>
      </c>
      <c r="M58" s="28">
        <f>PARAMETERS!$B$21*EFFICIENCY!H58</f>
        <v>11.645848595480318</v>
      </c>
      <c r="N58" s="13">
        <f t="shared" si="11"/>
        <v>762.8779679017648</v>
      </c>
      <c r="O58" s="4">
        <f>PARAMETERS!$B$9*N58</f>
        <v>1.6705356961352515</v>
      </c>
      <c r="P58" s="4">
        <f>MAX(PARAMETERS!$B$6,PARAMETERS!$B$6+PARAMETERS!$B$10*(O58-PARAMETERS!$B$11))</f>
        <v>3.2558035442028774E-2</v>
      </c>
      <c r="Q58" s="4">
        <f t="shared" si="12"/>
        <v>2.5640421782780005</v>
      </c>
      <c r="S58" s="23">
        <v>680.41110999381158</v>
      </c>
      <c r="T58" s="4">
        <f t="shared" si="4"/>
        <v>8.3480176115231799E-2</v>
      </c>
      <c r="U58" s="148">
        <f t="shared" si="1"/>
        <v>1790.4714891695137</v>
      </c>
      <c r="W58" s="6"/>
    </row>
    <row r="59" spans="1:24" ht="20.149999999999999" customHeight="1" x14ac:dyDescent="0.35">
      <c r="A59" s="1">
        <f t="shared" si="7"/>
        <v>2033</v>
      </c>
      <c r="C59" s="13">
        <f>C58+PARAMETERS!$B$5*PARAMETERS!$B$25*K58-P58*C58</f>
        <v>559.92084895014557</v>
      </c>
      <c r="D59" s="4">
        <f>PARAMETERS!$B$19*C59^PARAMETERS!$B$20</f>
        <v>0.19972545710931094</v>
      </c>
      <c r="E59" s="4">
        <f t="shared" si="8"/>
        <v>2.2582797540225283E-2</v>
      </c>
      <c r="G59" s="141">
        <f>G58+PARAMETERS!$B$5*(1-PARAMETERS!$B$25)*K58-P58*G58</f>
        <v>1291.831506213183</v>
      </c>
      <c r="H59" s="141">
        <f>PARAMETERS!$B$22*G59^(1-PARAMETERS!$B$20)</f>
        <v>655.93844779840651</v>
      </c>
      <c r="I59" s="141">
        <f t="shared" si="9"/>
        <v>1.4843244289577026E-2</v>
      </c>
      <c r="K59" s="141">
        <f>PARAMETERS!$B$18*D59*H59</f>
        <v>155.11300588537662</v>
      </c>
      <c r="L59" s="141">
        <f t="shared" si="10"/>
        <v>3.77612438104339E-2</v>
      </c>
      <c r="M59" s="28">
        <f>PARAMETERS!$B$21*EFFICIENCY!H59</f>
        <v>11.818710771142459</v>
      </c>
      <c r="N59" s="13">
        <f t="shared" si="11"/>
        <v>774.52381649724509</v>
      </c>
      <c r="O59" s="4">
        <f>PARAMETERS!$B$9*N59</f>
        <v>1.6960375543735295</v>
      </c>
      <c r="P59" s="4">
        <f>MAX(PARAMETERS!$B$6,PARAMETERS!$B$6+PARAMETERS!$B$10*(O59-PARAMETERS!$B$11))</f>
        <v>3.2940563315602939E-2</v>
      </c>
      <c r="Q59" s="4">
        <f t="shared" si="12"/>
        <v>2.5429293041333025</v>
      </c>
      <c r="S59" s="23">
        <v>690.9586263714159</v>
      </c>
      <c r="T59" s="4">
        <f t="shared" si="4"/>
        <v>8.3765523749905174E-2</v>
      </c>
      <c r="U59" s="148">
        <f t="shared" si="1"/>
        <v>1851.7523551633285</v>
      </c>
      <c r="X59" s="6"/>
    </row>
    <row r="60" spans="1:24" ht="20.149999999999999" customHeight="1" x14ac:dyDescent="0.35">
      <c r="A60" s="1">
        <f t="shared" si="7"/>
        <v>2034</v>
      </c>
      <c r="C60" s="13">
        <f>C59+PARAMETERS!$B$5*PARAMETERS!$B$25*K59-P59*C59</f>
        <v>588.63109456273162</v>
      </c>
      <c r="D60" s="4">
        <f>PARAMETERS!$B$19*C60^PARAMETERS!$B$20</f>
        <v>0.20410043653677232</v>
      </c>
      <c r="E60" s="4">
        <f t="shared" si="8"/>
        <v>2.1904966401288146E-2</v>
      </c>
      <c r="G60" s="141">
        <f>G59+PARAMETERS!$B$5*(1-PARAMETERS!$B$25)*K59-P59*G59</f>
        <v>1326.2138996088238</v>
      </c>
      <c r="H60" s="141">
        <f>PARAMETERS!$B$22*G60^(1-PARAMETERS!$B$20)</f>
        <v>665.77495336852166</v>
      </c>
      <c r="I60" s="141">
        <f t="shared" si="9"/>
        <v>1.4996080201016457E-2</v>
      </c>
      <c r="K60" s="141">
        <f>PARAMETERS!$B$18*D60*H60</f>
        <v>160.88779100343316</v>
      </c>
      <c r="L60" s="141">
        <f t="shared" si="10"/>
        <v>3.7229535235258848E-2</v>
      </c>
      <c r="M60" s="28">
        <f>PARAMETERS!$B$21*EFFICIENCY!H60</f>
        <v>11.995945105739128</v>
      </c>
      <c r="N60" s="13">
        <f t="shared" si="11"/>
        <v>786.34252726838758</v>
      </c>
      <c r="O60" s="4">
        <f>PARAMETERS!$B$9*N60</f>
        <v>1.7219179429234766</v>
      </c>
      <c r="P60" s="4">
        <f>MAX(PARAMETERS!$B$6,PARAMETERS!$B$6+PARAMETERS!$B$10*(O60-PARAMETERS!$B$11))</f>
        <v>3.3328769143852147E-2</v>
      </c>
      <c r="Q60" s="4">
        <f t="shared" si="12"/>
        <v>2.5209845838324534</v>
      </c>
      <c r="S60" s="23">
        <v>701.54700965095412</v>
      </c>
      <c r="T60" s="4">
        <f t="shared" si="4"/>
        <v>8.4021313209762014E-2</v>
      </c>
      <c r="U60" s="148">
        <f t="shared" si="1"/>
        <v>1914.8449941715553</v>
      </c>
    </row>
    <row r="61" spans="1:24" ht="20.149999999999999" customHeight="1" x14ac:dyDescent="0.35">
      <c r="A61" s="1">
        <f t="shared" si="7"/>
        <v>2035</v>
      </c>
      <c r="C61" s="13">
        <f>C60+PARAMETERS!$B$5*PARAMETERS!$B$25*K60-P60*C60</f>
        <v>617.92263316620097</v>
      </c>
      <c r="D61" s="4">
        <f>PARAMETERS!$B$19*C61^PARAMETERS!$B$20</f>
        <v>0.2084410848247264</v>
      </c>
      <c r="E61" s="4">
        <f t="shared" si="8"/>
        <v>2.1267217070219422E-2</v>
      </c>
      <c r="G61" s="141">
        <f>G60+PARAMETERS!$B$5*(1-PARAMETERS!$B$25)*K60-P60*G60</f>
        <v>1361.8131670510963</v>
      </c>
      <c r="H61" s="141">
        <f>PARAMETERS!$B$22*G61^(1-PARAMETERS!$B$20)</f>
        <v>675.84384026316809</v>
      </c>
      <c r="I61" s="141">
        <f t="shared" si="9"/>
        <v>1.5123559160197284E-2</v>
      </c>
      <c r="K61" s="141">
        <f>PARAMETERS!$B$18*D61*H61</f>
        <v>166.79436991209161</v>
      </c>
      <c r="L61" s="141">
        <f t="shared" si="10"/>
        <v>3.6712412245951009E-2</v>
      </c>
      <c r="M61" s="28">
        <f>PARAMETERS!$B$21*EFFICIENCY!H61</f>
        <v>12.177366491228254</v>
      </c>
      <c r="N61" s="13">
        <f t="shared" si="11"/>
        <v>798.3384723741267</v>
      </c>
      <c r="O61" s="4">
        <f>PARAMETERS!$B$9*N61</f>
        <v>1.748186435855752</v>
      </c>
      <c r="P61" s="4">
        <f>MAX(PARAMETERS!$B$6,PARAMETERS!$B$6+PARAMETERS!$B$10*(O61-PARAMETERS!$B$11))</f>
        <v>3.3722796537836275E-2</v>
      </c>
      <c r="Q61" s="4">
        <f t="shared" si="12"/>
        <v>2.4983344015707765</v>
      </c>
      <c r="S61" s="23">
        <v>712.17118744758352</v>
      </c>
      <c r="T61" s="4">
        <f t="shared" si="4"/>
        <v>8.4250822707648235E-2</v>
      </c>
      <c r="U61" s="148">
        <f t="shared" si="1"/>
        <v>1979.7358002172973</v>
      </c>
    </row>
    <row r="62" spans="1:24" ht="20.149999999999999" customHeight="1" x14ac:dyDescent="0.35">
      <c r="A62" s="1">
        <f t="shared" si="7"/>
        <v>2036</v>
      </c>
      <c r="C62" s="13">
        <f>C61+PARAMETERS!$B$5*PARAMETERS!$B$25*K61-P61*C61</f>
        <v>647.79004238508901</v>
      </c>
      <c r="D62" s="4">
        <f>PARAMETERS!$B$19*C62^PARAMETERS!$B$20</f>
        <v>0.21274860920137029</v>
      </c>
      <c r="E62" s="4">
        <f t="shared" si="8"/>
        <v>2.0665428700229582E-2</v>
      </c>
      <c r="G62" s="141">
        <f>G61+PARAMETERS!$B$5*(1-PARAMETERS!$B$25)*K61-P61*G61</f>
        <v>1398.6190261724832</v>
      </c>
      <c r="H62" s="141">
        <f>PARAMETERS!$B$22*G62^(1-PARAMETERS!$B$20)</f>
        <v>686.13478646553551</v>
      </c>
      <c r="I62" s="141">
        <f t="shared" si="9"/>
        <v>1.5226810676206225E-2</v>
      </c>
      <c r="K62" s="141">
        <f>PARAMETERS!$B$18*D62*H62</f>
        <v>172.83347830954267</v>
      </c>
      <c r="L62" s="141">
        <f t="shared" si="10"/>
        <v>3.6206907946796707E-2</v>
      </c>
      <c r="M62" s="28">
        <f>PARAMETERS!$B$21*EFFICIENCY!H62</f>
        <v>12.362788945324963</v>
      </c>
      <c r="N62" s="13">
        <f t="shared" si="11"/>
        <v>810.51583886535491</v>
      </c>
      <c r="O62" s="4">
        <f>PARAMETERS!$B$9*N62</f>
        <v>1.774852201894938</v>
      </c>
      <c r="P62" s="4">
        <f>MAX(PARAMETERS!$B$6,PARAMETERS!$B$6+PARAMETERS!$B$10*(O62-PARAMETERS!$B$11))</f>
        <v>3.4122783028424065E-2</v>
      </c>
      <c r="Q62" s="4">
        <f t="shared" si="12"/>
        <v>2.4750898770625103</v>
      </c>
      <c r="S62" s="23">
        <v>722.82589281869537</v>
      </c>
      <c r="T62" s="4">
        <f t="shared" si="4"/>
        <v>8.4456954850852833E-2</v>
      </c>
      <c r="U62" s="148">
        <f t="shared" si="1"/>
        <v>2046.4090685575723</v>
      </c>
    </row>
    <row r="63" spans="1:24" ht="20.149999999999999" customHeight="1" x14ac:dyDescent="0.35">
      <c r="A63" s="1">
        <f t="shared" si="7"/>
        <v>2037</v>
      </c>
      <c r="C63" s="13">
        <f>C62+PARAMETERS!$B$5*PARAMETERS!$B$25*K62-P62*C62</f>
        <v>678.22702072690993</v>
      </c>
      <c r="D63" s="4">
        <f>PARAMETERS!$B$19*C63^PARAMETERS!$B$20</f>
        <v>0.21702399401423314</v>
      </c>
      <c r="E63" s="4">
        <f t="shared" si="8"/>
        <v>2.0095947178748071E-2</v>
      </c>
      <c r="G63" s="141">
        <f>G62+PARAMETERS!$B$5*(1-PARAMETERS!$B$25)*K62-P62*G62</f>
        <v>1436.6196578445072</v>
      </c>
      <c r="H63" s="141">
        <f>PARAMETERS!$B$22*G63^(1-PARAMETERS!$B$20)</f>
        <v>696.63739422726155</v>
      </c>
      <c r="I63" s="141">
        <f t="shared" si="9"/>
        <v>1.5306916321540541E-2</v>
      </c>
      <c r="K63" s="141">
        <f>PARAMETERS!$B$18*D63*H63</f>
        <v>179.00544313504392</v>
      </c>
      <c r="L63" s="141">
        <f t="shared" si="10"/>
        <v>3.5710470482155858E-2</v>
      </c>
      <c r="M63" s="28">
        <f>PARAMETERS!$B$21*EFFICIENCY!H63</f>
        <v>12.552025121211919</v>
      </c>
      <c r="N63" s="13">
        <f t="shared" si="11"/>
        <v>822.87862781067986</v>
      </c>
      <c r="O63" s="4">
        <f>PARAMETERS!$B$9*N63</f>
        <v>1.8019240025051386</v>
      </c>
      <c r="P63" s="4">
        <f>MAX(PARAMETERS!$B$6,PARAMETERS!$B$6+PARAMETERS!$B$10*(O63-PARAMETERS!$B$11))</f>
        <v>3.4528860037577075E-2</v>
      </c>
      <c r="Q63" s="4">
        <f t="shared" si="12"/>
        <v>2.4513487892798929</v>
      </c>
      <c r="S63" s="23">
        <v>733.5056649155398</v>
      </c>
      <c r="T63" s="4">
        <f t="shared" si="4"/>
        <v>8.4642279248329441E-2</v>
      </c>
      <c r="U63" s="148">
        <f t="shared" si="1"/>
        <v>2114.8466785714172</v>
      </c>
    </row>
    <row r="64" spans="1:24" ht="20.149999999999999" customHeight="1" x14ac:dyDescent="0.35">
      <c r="A64" s="1">
        <f t="shared" si="7"/>
        <v>2038</v>
      </c>
      <c r="C64" s="13">
        <f>C63+PARAMETERS!$B$5*PARAMETERS!$B$25*K63-P63*C63</f>
        <v>709.22626956758097</v>
      </c>
      <c r="D64" s="4">
        <f>PARAMETERS!$B$19*C64^PARAMETERS!$B$20</f>
        <v>0.2212680113823918</v>
      </c>
      <c r="E64" s="4">
        <f t="shared" si="8"/>
        <v>1.9555521441008604E-2</v>
      </c>
      <c r="G64" s="141">
        <f>G63+PARAMETERS!$B$5*(1-PARAMETERS!$B$25)*K63-P63*G63</f>
        <v>1475.8015185465442</v>
      </c>
      <c r="H64" s="141">
        <f>PARAMETERS!$B$22*G64^(1-PARAMETERS!$B$20)</f>
        <v>707.341165185563</v>
      </c>
      <c r="I64" s="141">
        <f t="shared" si="9"/>
        <v>1.5364910134022455E-2</v>
      </c>
      <c r="K64" s="141">
        <f>PARAMETERS!$B$18*D64*H64</f>
        <v>185.31017601958391</v>
      </c>
      <c r="L64" s="141">
        <f t="shared" si="10"/>
        <v>3.5220900404596182E-2</v>
      </c>
      <c r="M64" s="28">
        <f>PARAMETERS!$B$21*EFFICIENCY!H64</f>
        <v>12.744885859199334</v>
      </c>
      <c r="N64" s="13">
        <f t="shared" si="11"/>
        <v>835.43065293189181</v>
      </c>
      <c r="O64" s="4">
        <f>PARAMETERS!$B$9*N64</f>
        <v>1.8294101889019529</v>
      </c>
      <c r="P64" s="4">
        <f>MAX(PARAMETERS!$B$6,PARAMETERS!$B$6+PARAMETERS!$B$10*(O64-PARAMETERS!$B$11))</f>
        <v>3.494115283352929E-2</v>
      </c>
      <c r="Q64" s="4">
        <f t="shared" si="12"/>
        <v>2.4271972661614973</v>
      </c>
      <c r="S64" s="23">
        <v>744.20485007279387</v>
      </c>
      <c r="T64" s="4">
        <f t="shared" si="4"/>
        <v>8.480907063407335E-2</v>
      </c>
      <c r="U64" s="148">
        <f t="shared" si="1"/>
        <v>2185.0277881141251</v>
      </c>
    </row>
    <row r="65" spans="1:27" ht="20.149999999999999" customHeight="1" x14ac:dyDescent="0.35">
      <c r="A65" s="1">
        <f t="shared" si="7"/>
        <v>2039</v>
      </c>
      <c r="C65" s="13">
        <f>C64+PARAMETERS!$B$5*PARAMETERS!$B$25*K64-P64*C64</f>
        <v>740.77937959901988</v>
      </c>
      <c r="D65" s="4">
        <f>PARAMETERS!$B$19*C65^PARAMETERS!$B$20</f>
        <v>0.22548123090642602</v>
      </c>
      <c r="E65" s="4">
        <f t="shared" si="8"/>
        <v>1.9041250010391267E-2</v>
      </c>
      <c r="G65" s="141">
        <f>G64+PARAMETERS!$B$5*(1-PARAMETERS!$B$25)*K64-P64*G64</f>
        <v>1516.1491594407685</v>
      </c>
      <c r="H65" s="141">
        <f>PARAMETERS!$B$22*G65^(1-PARAMETERS!$B$20)</f>
        <v>718.23547767960167</v>
      </c>
      <c r="I65" s="141">
        <f t="shared" si="9"/>
        <v>1.5401779268962343E-2</v>
      </c>
      <c r="K65" s="141">
        <f>PARAMETERS!$B$18*D65*H65</f>
        <v>191.74716559202793</v>
      </c>
      <c r="L65" s="141">
        <f t="shared" si="10"/>
        <v>3.4736298409018547E-2</v>
      </c>
      <c r="M65" s="28">
        <f>PARAMETERS!$B$21*EFFICIENCY!H65</f>
        <v>12.941179778010842</v>
      </c>
      <c r="N65" s="13">
        <f t="shared" si="11"/>
        <v>848.17553879109118</v>
      </c>
      <c r="O65" s="4">
        <f>PARAMETERS!$B$9*N65</f>
        <v>1.8573186980826817</v>
      </c>
      <c r="P65" s="4">
        <f>MAX(PARAMETERS!$B$6,PARAMETERS!$B$6+PARAMETERS!$B$10*(O65-PARAMETERS!$B$11))</f>
        <v>3.5359780471240221E-2</v>
      </c>
      <c r="Q65" s="4">
        <f t="shared" si="12"/>
        <v>2.4027112652417051</v>
      </c>
      <c r="S65" s="23">
        <v>754.91760335468337</v>
      </c>
      <c r="T65" s="4">
        <f t="shared" si="4"/>
        <v>8.4959342874722524E-2</v>
      </c>
      <c r="U65" s="148">
        <f t="shared" si="1"/>
        <v>2256.9285390397881</v>
      </c>
    </row>
    <row r="66" spans="1:27" ht="20.149999999999999" customHeight="1" x14ac:dyDescent="0.35">
      <c r="A66" s="1">
        <f t="shared" si="7"/>
        <v>2040</v>
      </c>
      <c r="C66" s="13">
        <f>C65+PARAMETERS!$B$5*PARAMETERS!$B$25*K65-P65*C65</f>
        <v>772.8767216987535</v>
      </c>
      <c r="D66" s="4">
        <f>PARAMETERS!$B$19*C66^PARAMETERS!$B$20</f>
        <v>0.2296640285756826</v>
      </c>
      <c r="E66" s="4">
        <f t="shared" si="8"/>
        <v>1.8550535902442496E-2</v>
      </c>
      <c r="G66" s="141">
        <f>G65+PARAMETERS!$B$5*(1-PARAMETERS!$B$25)*K65-P65*G65</f>
        <v>1557.6450521349334</v>
      </c>
      <c r="H66" s="141">
        <f>PARAMETERS!$B$22*G66^(1-PARAMETERS!$B$20)</f>
        <v>729.30956616074479</v>
      </c>
      <c r="I66" s="141">
        <f t="shared" si="9"/>
        <v>1.5418464870212345E-2</v>
      </c>
      <c r="K66" s="141">
        <f>PARAMETERS!$B$18*D66*H66</f>
        <v>198.31546888321981</v>
      </c>
      <c r="L66" s="141">
        <f t="shared" si="10"/>
        <v>3.4255021558790462E-2</v>
      </c>
      <c r="M66" s="28">
        <f>PARAMETERS!$B$21*EFFICIENCY!H66</f>
        <v>13.140712903797203</v>
      </c>
      <c r="N66" s="13">
        <f t="shared" si="11"/>
        <v>861.11671856910198</v>
      </c>
      <c r="O66" s="4">
        <f>PARAMETERS!$B$9*N66</f>
        <v>1.8856570479615373</v>
      </c>
      <c r="P66" s="4">
        <f>MAX(PARAMETERS!$B$6,PARAMETERS!$B$6+PARAMETERS!$B$10*(O66-PARAMETERS!$B$11))</f>
        <v>3.578485571942306E-2</v>
      </c>
      <c r="Q66" s="4">
        <f t="shared" si="12"/>
        <v>2.3779578684196818</v>
      </c>
      <c r="S66" s="23">
        <v>765.63789057562849</v>
      </c>
      <c r="T66" s="4">
        <f t="shared" si="4"/>
        <v>8.5094879228265127E-2</v>
      </c>
      <c r="U66" s="148">
        <f t="shared" si="1"/>
        <v>2330.5217738336869</v>
      </c>
    </row>
    <row r="67" spans="1:27" ht="20.149999999999999" customHeight="1" x14ac:dyDescent="0.35">
      <c r="A67" s="1">
        <f t="shared" si="7"/>
        <v>2041</v>
      </c>
      <c r="C67" s="13">
        <f>C66+PARAMETERS!$B$5*PARAMETERS!$B$25*K66-P66*C66</f>
        <v>805.5073422643618</v>
      </c>
      <c r="D67" s="4">
        <f>PARAMETERS!$B$19*C67^PARAMETERS!$B$20</f>
        <v>0.23381659499368845</v>
      </c>
      <c r="E67" s="4">
        <f t="shared" si="8"/>
        <v>1.8081048406922932E-2</v>
      </c>
      <c r="G67" s="141">
        <f>G66+PARAMETERS!$B$5*(1-PARAMETERS!$B$25)*K66-P66*G66</f>
        <v>1600.2694212482886</v>
      </c>
      <c r="H67" s="141">
        <f>PARAMETERS!$B$22*G67^(1-PARAMETERS!$B$20)</f>
        <v>740.55250261177434</v>
      </c>
      <c r="I67" s="141">
        <f t="shared" si="9"/>
        <v>1.5415863129582933E-2</v>
      </c>
      <c r="K67" s="141">
        <f>PARAMETERS!$B$18*D67*H67</f>
        <v>205.01370205649172</v>
      </c>
      <c r="L67" s="141">
        <f t="shared" si="10"/>
        <v>3.3775646503986248E-2</v>
      </c>
      <c r="M67" s="28">
        <f>PARAMETERS!$B$21*EFFICIENCY!H67</f>
        <v>13.343288335347285</v>
      </c>
      <c r="N67" s="13">
        <f t="shared" si="11"/>
        <v>874.25743147289916</v>
      </c>
      <c r="O67" s="4">
        <f>PARAMETERS!$B$9*N67</f>
        <v>1.9144323316924801</v>
      </c>
      <c r="P67" s="4">
        <f>MAX(PARAMETERS!$B$6,PARAMETERS!$B$6+PARAMETERS!$B$10*(O67-PARAMETERS!$B$11))</f>
        <v>3.6216484975387202E-2</v>
      </c>
      <c r="Q67" s="4">
        <f t="shared" si="12"/>
        <v>2.3529964121982401</v>
      </c>
      <c r="S67" s="23">
        <v>776.35949081264084</v>
      </c>
      <c r="T67" s="4">
        <f t="shared" si="4"/>
        <v>8.521725920951756E-2</v>
      </c>
      <c r="U67" s="148">
        <f t="shared" si="1"/>
        <v>2405.7767635126502</v>
      </c>
    </row>
    <row r="68" spans="1:27" ht="20.149999999999999" customHeight="1" x14ac:dyDescent="0.35">
      <c r="A68" s="1">
        <f t="shared" si="7"/>
        <v>2042</v>
      </c>
      <c r="C68" s="13">
        <f>C67+PARAMETERS!$B$5*PARAMETERS!$B$25*K67-P67*C67</f>
        <v>838.658863130854</v>
      </c>
      <c r="D68" s="4">
        <f>PARAMETERS!$B$19*C68^PARAMETERS!$B$20</f>
        <v>0.23793894302684654</v>
      </c>
      <c r="E68" s="4">
        <f t="shared" si="8"/>
        <v>1.7630690555857947E-2</v>
      </c>
      <c r="G68" s="141">
        <f>G67+PARAMETERS!$B$5*(1-PARAMETERS!$B$25)*K67-P67*G67</f>
        <v>1644.0000840170983</v>
      </c>
      <c r="H68" s="141">
        <f>PARAMETERS!$B$22*G68^(1-PARAMETERS!$B$20)</f>
        <v>751.95317990768808</v>
      </c>
      <c r="I68" s="141">
        <f t="shared" si="9"/>
        <v>1.5394826505488707E-2</v>
      </c>
      <c r="K68" s="141">
        <f>PARAMETERS!$B$18*D68*H68</f>
        <v>211.8400306821672</v>
      </c>
      <c r="L68" s="141">
        <f t="shared" si="10"/>
        <v>3.3296938483626186E-2</v>
      </c>
      <c r="M68" s="28">
        <f>PARAMETERS!$B$21*EFFICIENCY!H68</f>
        <v>13.548705944282668</v>
      </c>
      <c r="N68" s="13">
        <f t="shared" si="11"/>
        <v>887.60071980824648</v>
      </c>
      <c r="O68" s="4">
        <f>PARAMETERS!$B$9*N68</f>
        <v>1.9436512112589341</v>
      </c>
      <c r="P68" s="4">
        <f>MAX(PARAMETERS!$B$6,PARAMETERS!$B$6+PARAMETERS!$B$10*(O68-PARAMETERS!$B$11))</f>
        <v>3.6654768168884008E-2</v>
      </c>
      <c r="Q68" s="4">
        <f t="shared" si="12"/>
        <v>2.3278794727907615</v>
      </c>
      <c r="S68" s="23">
        <v>787.07599942582033</v>
      </c>
      <c r="T68" s="4">
        <f t="shared" si="4"/>
        <v>8.5327882400249286E-2</v>
      </c>
      <c r="U68" s="148">
        <f t="shared" si="1"/>
        <v>2482.6589471479524</v>
      </c>
    </row>
    <row r="69" spans="1:27" ht="20.149999999999999" customHeight="1" x14ac:dyDescent="0.35">
      <c r="A69" s="1">
        <f t="shared" si="7"/>
        <v>2043</v>
      </c>
      <c r="C69" s="13">
        <f>C68+PARAMETERS!$B$5*PARAMETERS!$B$25*K68-P68*C68</f>
        <v>872.3173862573916</v>
      </c>
      <c r="D69" s="4">
        <f>PARAMETERS!$B$19*C69^PARAMETERS!$B$20</f>
        <v>0.24203091496830473</v>
      </c>
      <c r="E69" s="4">
        <f t="shared" si="8"/>
        <v>1.7197571315581132E-2</v>
      </c>
      <c r="G69" s="141">
        <f>G68+PARAMETERS!$B$5*(1-PARAMETERS!$B$25)*K68-P68*G68</f>
        <v>1688.8122972861806</v>
      </c>
      <c r="H69" s="141">
        <f>PARAMETERS!$B$22*G69^(1-PARAMETERS!$B$20)</f>
        <v>763.50029706591215</v>
      </c>
      <c r="I69" s="141">
        <f t="shared" si="9"/>
        <v>1.5356165073524426E-2</v>
      </c>
      <c r="K69" s="141">
        <f>PARAMETERS!$B$18*D69*H69</f>
        <v>218.79215976528326</v>
      </c>
      <c r="L69" s="141">
        <f t="shared" si="10"/>
        <v>3.2817825133091318E-2</v>
      </c>
      <c r="M69" s="28">
        <f>PARAMETERS!$B$21*EFFICIENCY!H69</f>
        <v>13.756762109295714</v>
      </c>
      <c r="N69" s="13">
        <f t="shared" si="11"/>
        <v>901.14942575252917</v>
      </c>
      <c r="O69" s="4">
        <f>PARAMETERS!$B$9*N69</f>
        <v>1.9733199104069983</v>
      </c>
      <c r="P69" s="4">
        <f>MAX(PARAMETERS!$B$6,PARAMETERS!$B$6+PARAMETERS!$B$10*(O69-PARAMETERS!$B$11))</f>
        <v>3.7099798656104972E-2</v>
      </c>
      <c r="Q69" s="4">
        <f t="shared" si="12"/>
        <v>2.302653723593878</v>
      </c>
      <c r="S69" s="23">
        <v>797.78083160226936</v>
      </c>
      <c r="T69" s="4">
        <f t="shared" si="4"/>
        <v>8.5427989520063266E-2</v>
      </c>
      <c r="U69" s="148">
        <f t="shared" si="1"/>
        <v>2561.1296835435724</v>
      </c>
      <c r="Y69" s="6"/>
    </row>
    <row r="70" spans="1:27" ht="20.149999999999999" customHeight="1" x14ac:dyDescent="0.35">
      <c r="A70" s="1">
        <f t="shared" si="7"/>
        <v>2044</v>
      </c>
      <c r="C70" s="13">
        <f>C69+PARAMETERS!$B$5*PARAMETERS!$B$25*K69-P69*C69</f>
        <v>906.4674034316688</v>
      </c>
      <c r="D70" s="4">
        <f>PARAMETERS!$B$19*C70^PARAMETERS!$B$20</f>
        <v>0.24609218929765952</v>
      </c>
      <c r="E70" s="4">
        <f t="shared" si="8"/>
        <v>1.6779981722114479E-2</v>
      </c>
      <c r="G70" s="141">
        <f>G69+PARAMETERS!$B$5*(1-PARAMETERS!$B$25)*K69-P69*G69</f>
        <v>1734.6786123324898</v>
      </c>
      <c r="H70" s="141">
        <f>PARAMETERS!$B$22*G70^(1-PARAMETERS!$B$20)</f>
        <v>775.182346346754</v>
      </c>
      <c r="I70" s="141">
        <f t="shared" si="9"/>
        <v>1.53006479836816E-2</v>
      </c>
      <c r="K70" s="141">
        <f>PARAMETERS!$B$18*D70*H70</f>
        <v>225.86732372936518</v>
      </c>
      <c r="L70" s="141">
        <f t="shared" si="10"/>
        <v>3.2337374299298692E-2</v>
      </c>
      <c r="M70" s="28">
        <f>PARAMETERS!$B$21*EFFICIENCY!H70</f>
        <v>13.967249483725297</v>
      </c>
      <c r="N70" s="13">
        <f t="shared" si="11"/>
        <v>914.90618786182483</v>
      </c>
      <c r="O70" s="4">
        <f>PARAMETERS!$B$9*N70</f>
        <v>2.0034442069966967</v>
      </c>
      <c r="P70" s="4">
        <f>MAX(PARAMETERS!$B$6,PARAMETERS!$B$6+PARAMETERS!$B$10*(O70-PARAMETERS!$B$11))</f>
        <v>3.755166310495045E-2</v>
      </c>
      <c r="Q70" s="4">
        <f t="shared" si="12"/>
        <v>2.2773606807047302</v>
      </c>
      <c r="S70" s="23">
        <v>808.46722643764929</v>
      </c>
      <c r="T70" s="4">
        <f t="shared" si="4"/>
        <v>8.5518681050284664E-2</v>
      </c>
      <c r="U70" s="148">
        <f t="shared" ref="U70:U125" si="13">C70+G70</f>
        <v>2641.1460157641586</v>
      </c>
      <c r="Y70" s="6"/>
    </row>
    <row r="71" spans="1:27" ht="20.149999999999999" customHeight="1" x14ac:dyDescent="0.35">
      <c r="A71" s="1">
        <f t="shared" si="7"/>
        <v>2045</v>
      </c>
      <c r="C71" s="13">
        <f>C70+PARAMETERS!$B$5*PARAMETERS!$B$25*K70-P70*C70</f>
        <v>941.09171129611059</v>
      </c>
      <c r="D71" s="4">
        <f>PARAMETERS!$B$19*C71^PARAMETERS!$B$20</f>
        <v>0.25012228710757184</v>
      </c>
      <c r="E71" s="4">
        <f t="shared" si="8"/>
        <v>1.6376374323029529E-2</v>
      </c>
      <c r="G71" s="141">
        <f>G70+PARAMETERS!$B$5*(1-PARAMETERS!$B$25)*K70-P70*G70</f>
        <v>1781.5687380565823</v>
      </c>
      <c r="H71" s="141">
        <f>PARAMETERS!$B$22*G71^(1-PARAMETERS!$B$20)</f>
        <v>786.98760217601705</v>
      </c>
      <c r="I71" s="141">
        <f t="shared" si="9"/>
        <v>1.5229005001079227E-2</v>
      </c>
      <c r="K71" s="141">
        <f>PARAMETERS!$B$18*D71*H71</f>
        <v>233.062276554178</v>
      </c>
      <c r="L71" s="141">
        <f t="shared" si="10"/>
        <v>3.1854775210573741E-2</v>
      </c>
      <c r="M71" s="28">
        <f>PARAMETERS!$B$21*EFFICIENCY!H71</f>
        <v>14.179956795964271</v>
      </c>
      <c r="N71" s="13">
        <f t="shared" si="11"/>
        <v>928.87343734555009</v>
      </c>
      <c r="O71" s="4">
        <f>PARAMETERS!$B$9*N71</f>
        <v>2.0340294248442703</v>
      </c>
      <c r="P71" s="4">
        <f>MAX(PARAMETERS!$B$6,PARAMETERS!$B$6+PARAMETERS!$B$10*(O71-PARAMETERS!$B$11))</f>
        <v>3.8010441372664051E-2</v>
      </c>
      <c r="Q71" s="4">
        <f t="shared" si="12"/>
        <v>2.2520373504550979</v>
      </c>
      <c r="S71" s="23">
        <v>819.12825156826614</v>
      </c>
      <c r="T71" s="4">
        <f t="shared" ref="T71:T126" si="14">K71/(C71+G71)</f>
        <v>8.5600933678523186E-2</v>
      </c>
      <c r="U71" s="148">
        <f t="shared" si="13"/>
        <v>2722.6604493526929</v>
      </c>
      <c r="Y71" s="6"/>
    </row>
    <row r="72" spans="1:27" ht="20.149999999999999" customHeight="1" x14ac:dyDescent="0.35">
      <c r="A72" s="1">
        <f t="shared" si="7"/>
        <v>2046</v>
      </c>
      <c r="C72" s="13">
        <f>C71+PARAMETERS!$B$5*PARAMETERS!$B$25*K71-P71*C71</f>
        <v>976.17133205005985</v>
      </c>
      <c r="D72" s="4">
        <f>PARAMETERS!$B$19*C72^PARAMETERS!$B$20</f>
        <v>0.25412057826014134</v>
      </c>
      <c r="E72" s="4">
        <f t="shared" si="8"/>
        <v>1.5985345403666196E-2</v>
      </c>
      <c r="G72" s="141">
        <f>G71+PARAMETERS!$B$5*(1-PARAMETERS!$B$25)*K71-P71*G71</f>
        <v>1829.4494131581839</v>
      </c>
      <c r="H72" s="141">
        <f>PARAMETERS!$B$22*G72^(1-PARAMETERS!$B$20)</f>
        <v>798.90411187105678</v>
      </c>
      <c r="I72" s="141">
        <f t="shared" si="9"/>
        <v>1.514192810927471E-2</v>
      </c>
      <c r="K72" s="141">
        <f>PARAMETERS!$B$18*D72*H72</f>
        <v>240.37328226156387</v>
      </c>
      <c r="L72" s="141">
        <f t="shared" si="10"/>
        <v>3.1369322463845183E-2</v>
      </c>
      <c r="M72" s="28">
        <f>PARAMETERS!$B$21*EFFICIENCY!H72</f>
        <v>14.394668682361383</v>
      </c>
      <c r="N72" s="13">
        <f t="shared" si="11"/>
        <v>943.05339414151433</v>
      </c>
      <c r="O72" s="4">
        <f>PARAMETERS!$B$9*N72</f>
        <v>2.065080425127404</v>
      </c>
      <c r="P72" s="4">
        <f>MAX(PARAMETERS!$B$6,PARAMETERS!$B$6+PARAMETERS!$B$10*(O72-PARAMETERS!$B$11))</f>
        <v>3.8476206376911057E-2</v>
      </c>
      <c r="Q72" s="4">
        <f t="shared" si="12"/>
        <v>2.2267167913575068</v>
      </c>
      <c r="S72" s="23">
        <v>829.75680836522974</v>
      </c>
      <c r="T72" s="4">
        <f t="shared" si="14"/>
        <v>8.5675614807204634E-2</v>
      </c>
      <c r="U72" s="148">
        <f t="shared" si="13"/>
        <v>2805.6207452082435</v>
      </c>
      <c r="Y72" s="6"/>
    </row>
    <row r="73" spans="1:27" ht="20.149999999999999" customHeight="1" x14ac:dyDescent="0.35">
      <c r="A73" s="1">
        <f t="shared" si="7"/>
        <v>2047</v>
      </c>
      <c r="C73" s="13">
        <f>C72+PARAMETERS!$B$5*PARAMETERS!$B$25*K72-P72*C72</f>
        <v>1011.6854402263931</v>
      </c>
      <c r="D73" s="4">
        <f>PARAMETERS!$B$19*C73^PARAMETERS!$B$20</f>
        <v>0.25808628732877353</v>
      </c>
      <c r="E73" s="4">
        <f t="shared" si="8"/>
        <v>1.5605619567623241E-2</v>
      </c>
      <c r="G73" s="141">
        <f>G72+PARAMETERS!$B$5*(1-PARAMETERS!$B$25)*K72-P72*G72</f>
        <v>1878.2842879831267</v>
      </c>
      <c r="H73" s="141">
        <f>PARAMETERS!$B$22*G73^(1-PARAMETERS!$B$20)</f>
        <v>810.91968815935866</v>
      </c>
      <c r="I73" s="141">
        <f t="shared" si="9"/>
        <v>1.5040073157416903E-2</v>
      </c>
      <c r="K73" s="141">
        <f>PARAMETERS!$B$18*D73*H73</f>
        <v>247.79610594040511</v>
      </c>
      <c r="L73" s="141">
        <f t="shared" si="10"/>
        <v>3.0880402385004016E-2</v>
      </c>
      <c r="M73" s="28">
        <f>PARAMETERS!$B$21*EFFICIENCY!H73</f>
        <v>14.611165552420877</v>
      </c>
      <c r="N73" s="13">
        <f t="shared" si="11"/>
        <v>957.44806282387572</v>
      </c>
      <c r="O73" s="4">
        <f>PARAMETERS!$B$9*N73</f>
        <v>2.0966015974245455</v>
      </c>
      <c r="P73" s="4">
        <f>MAX(PARAMETERS!$B$6,PARAMETERS!$B$6+PARAMETERS!$B$10*(O73-PARAMETERS!$B$11))</f>
        <v>3.8949023961368179E-2</v>
      </c>
      <c r="Q73" s="4">
        <f t="shared" si="12"/>
        <v>2.2014286014176827</v>
      </c>
      <c r="S73" s="23">
        <v>840.34563770062721</v>
      </c>
      <c r="T73" s="4">
        <f t="shared" si="14"/>
        <v>8.5743495345858567E-2</v>
      </c>
      <c r="U73" s="148">
        <f t="shared" si="13"/>
        <v>2889.9697282095199</v>
      </c>
      <c r="Y73" s="6"/>
    </row>
    <row r="74" spans="1:27" ht="20.149999999999999" customHeight="1" x14ac:dyDescent="0.35">
      <c r="A74" s="1">
        <f t="shared" si="7"/>
        <v>2048</v>
      </c>
      <c r="C74" s="13">
        <f>C73+PARAMETERS!$B$5*PARAMETERS!$B$25*K73-P73*C73</f>
        <v>1047.6112959795312</v>
      </c>
      <c r="D74" s="4">
        <f>PARAMETERS!$B$19*C74^PARAMETERS!$B$20</f>
        <v>0.26201849937506894</v>
      </c>
      <c r="E74" s="4">
        <f t="shared" si="8"/>
        <v>1.5236036315583854E-2</v>
      </c>
      <c r="G74" s="141">
        <f>G73+PARAMETERS!$B$5*(1-PARAMETERS!$B$25)*K73-P73*G73</f>
        <v>1928.0338167906516</v>
      </c>
      <c r="H74" s="141">
        <f>PARAMETERS!$B$22*G74^(1-PARAMETERS!$B$20)</f>
        <v>823.02190348503473</v>
      </c>
      <c r="I74" s="141">
        <f t="shared" si="9"/>
        <v>1.4924061534559501E-2</v>
      </c>
      <c r="K74" s="141">
        <f>PARAMETERS!$B$18*D74*H74</f>
        <v>255.32600549909054</v>
      </c>
      <c r="L74" s="141">
        <f t="shared" si="10"/>
        <v>3.0387481393659863E-2</v>
      </c>
      <c r="M74" s="28">
        <f>PARAMETERS!$B$21*EFFICIENCY!H74</f>
        <v>14.829223486216842</v>
      </c>
      <c r="N74" s="13">
        <f t="shared" si="11"/>
        <v>972.05922837629657</v>
      </c>
      <c r="O74" s="4">
        <f>PARAMETERS!$B$9*N74</f>
        <v>2.1285968504590436</v>
      </c>
      <c r="P74" s="4">
        <f>MAX(PARAMETERS!$B$6,PARAMETERS!$B$6+PARAMETERS!$B$10*(O74-PARAMETERS!$B$11))</f>
        <v>3.9428952756885655E-2</v>
      </c>
      <c r="Q74" s="4">
        <f t="shared" si="12"/>
        <v>2.1761993404634552</v>
      </c>
      <c r="S74" s="23">
        <v>850.88732629400329</v>
      </c>
      <c r="T74" s="4">
        <f t="shared" si="14"/>
        <v>8.5805260984699303E-2</v>
      </c>
      <c r="U74" s="148">
        <f t="shared" si="13"/>
        <v>2975.645112770183</v>
      </c>
    </row>
    <row r="75" spans="1:27" ht="20.149999999999999" customHeight="1" x14ac:dyDescent="0.35">
      <c r="A75" s="1">
        <f t="shared" si="7"/>
        <v>2049</v>
      </c>
      <c r="C75" s="13">
        <f>C74+PARAMETERS!$B$5*PARAMETERS!$B$25*K74-P74*C74</f>
        <v>1083.9241853544979</v>
      </c>
      <c r="D75" s="4">
        <f>PARAMETERS!$B$19*C75^PARAMETERS!$B$20</f>
        <v>0.26591616560482645</v>
      </c>
      <c r="E75" s="4">
        <f t="shared" si="8"/>
        <v>1.4875538326697156E-2</v>
      </c>
      <c r="G75" s="141">
        <f>G74+PARAMETERS!$B$5*(1-PARAMETERS!$B$25)*K74-P74*G74</f>
        <v>1978.6551612422838</v>
      </c>
      <c r="H75" s="141">
        <f>PARAMETERS!$B$22*G75^(1-PARAMETERS!$B$20)</f>
        <v>835.19808610365737</v>
      </c>
      <c r="I75" s="141">
        <f t="shared" si="9"/>
        <v>1.4794481856513617E-2</v>
      </c>
      <c r="K75" s="141">
        <f>PARAMETERS!$B$18*D75*H75</f>
        <v>262.95772433137432</v>
      </c>
      <c r="L75" s="141">
        <f t="shared" si="10"/>
        <v>2.9890096065091045E-2</v>
      </c>
      <c r="M75" s="28">
        <f>PARAMETERS!$B$21*EFFICIENCY!H75</f>
        <v>15.048614164029862</v>
      </c>
      <c r="N75" s="13">
        <f t="shared" si="11"/>
        <v>986.88845186251342</v>
      </c>
      <c r="O75" s="4">
        <f>PARAMETERS!$B$9*N75</f>
        <v>2.1610696026186429</v>
      </c>
      <c r="P75" s="4">
        <f>MAX(PARAMETERS!$B$6,PARAMETERS!$B$6+PARAMETERS!$B$10*(O75-PARAMETERS!$B$11))</f>
        <v>3.991604403927964E-2</v>
      </c>
      <c r="Q75" s="4">
        <f t="shared" si="12"/>
        <v>2.1510528959685775</v>
      </c>
      <c r="S75" s="23">
        <v>861.3743136456319</v>
      </c>
      <c r="T75" s="4">
        <f t="shared" si="14"/>
        <v>8.5861522126301743E-2</v>
      </c>
      <c r="U75" s="148">
        <f t="shared" si="13"/>
        <v>3062.5793465967818</v>
      </c>
      <c r="Z75" s="6"/>
    </row>
    <row r="76" spans="1:27" s="6" customFormat="1" ht="20.149999999999999" customHeight="1" x14ac:dyDescent="0.35">
      <c r="A76" s="1">
        <f t="shared" si="7"/>
        <v>2050</v>
      </c>
      <c r="B76" s="39"/>
      <c r="C76" s="13">
        <f>C75+PARAMETERS!$B$5*PARAMETERS!$B$25*K75-P75*C75</f>
        <v>1120.5973680333852</v>
      </c>
      <c r="D76" s="4">
        <f>PARAMETERS!$B$19*C76^PARAMETERS!$B$20</f>
        <v>0.2697781089424342</v>
      </c>
      <c r="E76" s="4">
        <f t="shared" si="8"/>
        <v>1.4523161195648868E-2</v>
      </c>
      <c r="F76" s="137"/>
      <c r="G76" s="141">
        <f>G75+PARAMETERS!$B$5*(1-PARAMETERS!$B$25)*K75-P75*G75</f>
        <v>2030.1021059559507</v>
      </c>
      <c r="H76" s="141">
        <f>PARAMETERS!$B$22*G76^(1-PARAMETERS!$B$20)</f>
        <v>847.43531796956643</v>
      </c>
      <c r="I76" s="141">
        <f t="shared" si="9"/>
        <v>1.4651891652431632E-2</v>
      </c>
      <c r="J76" s="47"/>
      <c r="K76" s="141">
        <f>PARAMETERS!$B$18*D76*H76</f>
        <v>270.68548507890625</v>
      </c>
      <c r="L76" s="141">
        <f t="shared" si="10"/>
        <v>2.9387844632369705E-2</v>
      </c>
      <c r="M76" s="28">
        <f>PARAMETERS!$B$21*EFFICIENCY!H76</f>
        <v>15.269104828280476</v>
      </c>
      <c r="N76" s="13">
        <f t="shared" si="11"/>
        <v>1001.9370660265433</v>
      </c>
      <c r="O76" s="4">
        <f>PARAMETERS!$B$9*N76</f>
        <v>2.1940227723208978</v>
      </c>
      <c r="P76" s="4">
        <f>MAX(PARAMETERS!$B$6,PARAMETERS!$B$6+PARAMETERS!$B$10*(O76-PARAMETERS!$B$11))</f>
        <v>4.0410341584813464E-2</v>
      </c>
      <c r="Q76" s="4">
        <f t="shared" si="12"/>
        <v>2.1260107998033346</v>
      </c>
      <c r="R76" s="53"/>
      <c r="S76" s="23">
        <v>871.79889956107183</v>
      </c>
      <c r="T76" s="4">
        <f t="shared" si="14"/>
        <v>8.5912822633055233E-2</v>
      </c>
      <c r="U76" s="148">
        <f t="shared" si="13"/>
        <v>3150.6994739893362</v>
      </c>
      <c r="V76" s="1"/>
      <c r="W76" s="1"/>
      <c r="X76" s="1"/>
      <c r="AA76" s="1"/>
    </row>
    <row r="77" spans="1:27" s="6" customFormat="1" ht="20.149999999999999" customHeight="1" x14ac:dyDescent="0.35">
      <c r="A77" s="1">
        <f t="shared" si="7"/>
        <v>2051</v>
      </c>
      <c r="B77" s="39"/>
      <c r="C77" s="13">
        <f>C76+PARAMETERS!$B$5*PARAMETERS!$B$25*K76-P76*C76</f>
        <v>1157.6020330761007</v>
      </c>
      <c r="D77" s="4">
        <f>PARAMETERS!$B$19*C77^PARAMETERS!$B$20</f>
        <v>0.27360302955861315</v>
      </c>
      <c r="E77" s="4">
        <f t="shared" si="8"/>
        <v>1.4178024418560663E-2</v>
      </c>
      <c r="F77" s="137"/>
      <c r="G77" s="141">
        <f>G76+PARAMETERS!$B$5*(1-PARAMETERS!$B$25)*K76-P76*G76</f>
        <v>2082.3249870013592</v>
      </c>
      <c r="H77" s="141">
        <f>PARAMETERS!$B$22*G77^(1-PARAMETERS!$B$20)</f>
        <v>859.72043442234542</v>
      </c>
      <c r="I77" s="141">
        <f t="shared" si="9"/>
        <v>1.449681904008181E-2</v>
      </c>
      <c r="J77" s="47"/>
      <c r="K77" s="141">
        <f>PARAMETERS!$B$18*D77*H77</f>
        <v>278.50298467077846</v>
      </c>
      <c r="L77" s="141">
        <f t="shared" si="10"/>
        <v>2.8880379712984475E-2</v>
      </c>
      <c r="M77" s="28">
        <f>PARAMETERS!$B$21*EFFICIENCY!H77</f>
        <v>15.490458277880098</v>
      </c>
      <c r="N77" s="13">
        <f t="shared" si="11"/>
        <v>1017.2061708548238</v>
      </c>
      <c r="O77" s="4">
        <f>PARAMETERS!$B$9*N77</f>
        <v>2.2274587682952349</v>
      </c>
      <c r="P77" s="4">
        <f>MAX(PARAMETERS!$B$6,PARAMETERS!$B$6+PARAMETERS!$B$10*(O77-PARAMETERS!$B$11))</f>
        <v>4.0911881524428526E-2</v>
      </c>
      <c r="Q77" s="4">
        <f t="shared" si="12"/>
        <v>2.1010925024137479</v>
      </c>
      <c r="R77" s="53"/>
      <c r="S77" s="23">
        <v>882.15325226947641</v>
      </c>
      <c r="T77" s="4">
        <f t="shared" si="14"/>
        <v>8.5959647530616301E-2</v>
      </c>
      <c r="U77" s="148">
        <f t="shared" si="13"/>
        <v>3239.9270200774599</v>
      </c>
      <c r="V77" s="1"/>
      <c r="W77" s="1"/>
      <c r="X77" s="1"/>
      <c r="Y77" s="1"/>
      <c r="AA77" s="1"/>
    </row>
    <row r="78" spans="1:27" s="6" customFormat="1" ht="20.149999999999999" customHeight="1" x14ac:dyDescent="0.35">
      <c r="A78" s="1">
        <f t="shared" si="7"/>
        <v>2052</v>
      </c>
      <c r="B78" s="39"/>
      <c r="C78" s="13">
        <f>C77+PARAMETERS!$B$5*PARAMETERS!$B$25*K77-P77*C77</f>
        <v>1194.9072631863703</v>
      </c>
      <c r="D78" s="4">
        <f>PARAMETERS!$B$19*C78^PARAMETERS!$B$20</f>
        <v>0.27738951038260184</v>
      </c>
      <c r="E78" s="4">
        <f t="shared" si="8"/>
        <v>1.3839323453754101E-2</v>
      </c>
      <c r="F78" s="137"/>
      <c r="G78" s="141">
        <f>G77+PARAMETERS!$B$5*(1-PARAMETERS!$B$25)*K77-P77*G77</f>
        <v>2135.2706342345086</v>
      </c>
      <c r="H78" s="141">
        <f>PARAMETERS!$B$22*G78^(1-PARAMETERS!$B$20)</f>
        <v>872.04002568061833</v>
      </c>
      <c r="I78" s="141">
        <f t="shared" si="9"/>
        <v>1.4329764380383213E-2</v>
      </c>
      <c r="J78" s="47"/>
      <c r="K78" s="141">
        <f>PARAMETERS!$B$18*D78*H78</f>
        <v>286.4033908169726</v>
      </c>
      <c r="L78" s="141">
        <f t="shared" si="10"/>
        <v>2.8367402078413283E-2</v>
      </c>
      <c r="M78" s="28">
        <f>PARAMETERS!$B$21*EFFICIENCY!H78</f>
        <v>15.712432895146277</v>
      </c>
      <c r="N78" s="13">
        <f t="shared" si="11"/>
        <v>1032.6966291327039</v>
      </c>
      <c r="O78" s="4">
        <f>PARAMETERS!$B$9*N78</f>
        <v>2.2613794798526365</v>
      </c>
      <c r="P78" s="4">
        <f>MAX(PARAMETERS!$B$6,PARAMETERS!$B$6+PARAMETERS!$B$10*(O78-PARAMETERS!$B$11))</f>
        <v>4.1420692197789544E-2</v>
      </c>
      <c r="Q78" s="4">
        <f t="shared" si="12"/>
        <v>2.0763156101079918</v>
      </c>
      <c r="R78" s="53"/>
      <c r="S78" s="23">
        <v>892.42941713590221</v>
      </c>
      <c r="T78" s="4">
        <f t="shared" si="14"/>
        <v>8.6002429791748741E-2</v>
      </c>
      <c r="U78" s="148">
        <f t="shared" si="13"/>
        <v>3330.1778974208792</v>
      </c>
      <c r="V78" s="1"/>
      <c r="W78" s="1"/>
      <c r="X78" s="1"/>
      <c r="Y78" s="1"/>
      <c r="Z78" s="1"/>
      <c r="AA78" s="1"/>
    </row>
    <row r="79" spans="1:27" ht="20.149999999999999" customHeight="1" x14ac:dyDescent="0.35">
      <c r="A79" s="1">
        <f t="shared" si="7"/>
        <v>2053</v>
      </c>
      <c r="C79" s="13">
        <f>C78+PARAMETERS!$B$5*PARAMETERS!$B$25*K78-P78*C78</f>
        <v>1232.4800080413841</v>
      </c>
      <c r="D79" s="4">
        <f>PARAMETERS!$B$19*C79^PARAMETERS!$B$20</f>
        <v>0.28113602262633902</v>
      </c>
      <c r="E79" s="4">
        <f t="shared" si="8"/>
        <v>1.3506322710507808E-2</v>
      </c>
      <c r="G79" s="141">
        <f>G78+PARAMETERS!$B$5*(1-PARAMETERS!$B$25)*K78-P78*G78</f>
        <v>2188.8823283801207</v>
      </c>
      <c r="H79" s="141">
        <f>PARAMETERS!$B$22*G79^(1-PARAMETERS!$B$20)</f>
        <v>884.38044015166201</v>
      </c>
      <c r="I79" s="141">
        <f t="shared" si="9"/>
        <v>1.4151201903160488E-2</v>
      </c>
      <c r="K79" s="141">
        <f>PARAMETERS!$B$18*D79*H79</f>
        <v>294.37934012839884</v>
      </c>
      <c r="L79" s="141">
        <f t="shared" si="10"/>
        <v>2.7848655313314014E-2</v>
      </c>
      <c r="M79" s="28">
        <f>PARAMETERS!$B$21*EFFICIENCY!H79</f>
        <v>15.934782705435351</v>
      </c>
      <c r="N79" s="13">
        <f t="shared" si="11"/>
        <v>1048.4090620278503</v>
      </c>
      <c r="O79" s="4">
        <f>PARAMETERS!$B$9*N79</f>
        <v>2.2957862672142708</v>
      </c>
      <c r="P79" s="4">
        <f>MAX(PARAMETERS!$B$6,PARAMETERS!$B$6+PARAMETERS!$B$10*(O79-PARAMETERS!$B$11))</f>
        <v>4.1936794008214061E-2</v>
      </c>
      <c r="Q79" s="4">
        <f t="shared" si="12"/>
        <v>2.0516960904024306</v>
      </c>
      <c r="S79" s="23">
        <v>902.61932596553038</v>
      </c>
      <c r="T79" s="4">
        <f t="shared" si="14"/>
        <v>8.6041556310664874E-2</v>
      </c>
      <c r="U79" s="148">
        <f t="shared" si="13"/>
        <v>3421.3623364215046</v>
      </c>
    </row>
    <row r="80" spans="1:27" ht="20.149999999999999" customHeight="1" x14ac:dyDescent="0.35">
      <c r="A80" s="1">
        <f t="shared" si="7"/>
        <v>2054</v>
      </c>
      <c r="C80" s="13">
        <f>C79+PARAMETERS!$B$5*PARAMETERS!$B$25*K79-P79*C79</f>
        <v>1270.2850672239438</v>
      </c>
      <c r="D80" s="4">
        <f>PARAMETERS!$B$19*C80^PARAMETERS!$B$20</f>
        <v>0.28484093134494548</v>
      </c>
      <c r="E80" s="4">
        <f t="shared" si="8"/>
        <v>1.3178349341346035E-2</v>
      </c>
      <c r="G80" s="141">
        <f>G79+PARAMETERS!$B$5*(1-PARAMETERS!$B$25)*K79-P79*G79</f>
        <v>2243.0997737703096</v>
      </c>
      <c r="H80" s="141">
        <f>PARAMETERS!$B$22*G80^(1-PARAMETERS!$B$20)</f>
        <v>896.72778956471677</v>
      </c>
      <c r="I80" s="141">
        <f t="shared" si="9"/>
        <v>1.396158129745307E-2</v>
      </c>
      <c r="K80" s="141">
        <f>PARAMETERS!$B$18*D80*H80</f>
        <v>302.42293803112966</v>
      </c>
      <c r="L80" s="141">
        <f t="shared" si="10"/>
        <v>2.732392123449446E-2</v>
      </c>
      <c r="M80" s="28">
        <f>PARAMETERS!$B$21*EFFICIENCY!H80</f>
        <v>16.157257469634537</v>
      </c>
      <c r="N80" s="13">
        <f t="shared" si="11"/>
        <v>1064.3438447332856</v>
      </c>
      <c r="O80" s="4">
        <f>PARAMETERS!$B$9*N80</f>
        <v>2.3306799519706987</v>
      </c>
      <c r="P80" s="4">
        <f>MAX(PARAMETERS!$B$6,PARAMETERS!$B$6+PARAMETERS!$B$10*(O80-PARAMETERS!$B$11))</f>
        <v>4.2460199279560476E-2</v>
      </c>
      <c r="Q80" s="4">
        <f t="shared" si="12"/>
        <v>2.0272484497408025</v>
      </c>
      <c r="S80" s="23">
        <v>912.71480689532859</v>
      </c>
      <c r="T80" s="4">
        <f t="shared" si="14"/>
        <v>8.6077373165174512E-2</v>
      </c>
      <c r="U80" s="148">
        <f t="shared" si="13"/>
        <v>3513.3848409942534</v>
      </c>
    </row>
    <row r="81" spans="1:24" ht="20.149999999999999" customHeight="1" x14ac:dyDescent="0.35">
      <c r="A81" s="1">
        <f t="shared" si="7"/>
        <v>2055</v>
      </c>
      <c r="C81" s="13">
        <f>C80+PARAMETERS!$B$5*PARAMETERS!$B$25*K80-P80*C80</f>
        <v>1308.2850832892286</v>
      </c>
      <c r="D81" s="4">
        <f>PARAMETERS!$B$19*C81^PARAMETERS!$B$20</f>
        <v>0.28850250105479958</v>
      </c>
      <c r="E81" s="4">
        <f t="shared" si="8"/>
        <v>1.2854787732104045E-2</v>
      </c>
      <c r="G81" s="141">
        <f>G80+PARAMETERS!$B$5*(1-PARAMETERS!$B$25)*K80-P80*G80</f>
        <v>2297.8590876355256</v>
      </c>
      <c r="H81" s="141">
        <f>PARAMETERS!$B$22*G81^(1-PARAMETERS!$B$20)</f>
        <v>909.06795593423237</v>
      </c>
      <c r="I81" s="141">
        <f t="shared" si="9"/>
        <v>1.3761329260806868E-2</v>
      </c>
      <c r="K81" s="141">
        <f>PARAMETERS!$B$18*D81*H81</f>
        <v>310.52576063630761</v>
      </c>
      <c r="L81" s="141">
        <f t="shared" si="10"/>
        <v>2.6793015959470281E-2</v>
      </c>
      <c r="M81" s="28">
        <f>PARAMETERS!$B$21*EFFICIENCY!H81</f>
        <v>16.379602809625808</v>
      </c>
      <c r="N81" s="13">
        <f t="shared" si="11"/>
        <v>1080.50110220292</v>
      </c>
      <c r="O81" s="4">
        <f>PARAMETERS!$B$9*N81</f>
        <v>2.3660608077436209</v>
      </c>
      <c r="P81" s="4">
        <f>MAX(PARAMETERS!$B$6,PARAMETERS!$B$6+PARAMETERS!$B$10*(O81-PARAMETERS!$B$11))</f>
        <v>4.2990912116154315E-2</v>
      </c>
      <c r="Q81" s="4">
        <f t="shared" si="12"/>
        <v>2.0029858873394857</v>
      </c>
      <c r="S81" s="23">
        <v>922.70759486610359</v>
      </c>
      <c r="T81" s="4">
        <f t="shared" si="14"/>
        <v>8.6110190252509197E-2</v>
      </c>
      <c r="U81" s="148">
        <f t="shared" si="13"/>
        <v>3606.1441709247542</v>
      </c>
    </row>
    <row r="82" spans="1:24" ht="20.149999999999999" customHeight="1" x14ac:dyDescent="0.35">
      <c r="A82" s="1">
        <f t="shared" si="7"/>
        <v>2056</v>
      </c>
      <c r="C82" s="13">
        <f>C81+PARAMETERS!$B$5*PARAMETERS!$B$25*K81-P81*C81</f>
        <v>1346.4405454841033</v>
      </c>
      <c r="D82" s="4">
        <f>PARAMETERS!$B$19*C82^PARAMETERS!$B$20</f>
        <v>0.2921189014276675</v>
      </c>
      <c r="E82" s="4">
        <f t="shared" si="8"/>
        <v>1.2535074599512764E-2</v>
      </c>
      <c r="G82" s="141">
        <f>G81+PARAMETERS!$B$5*(1-PARAMETERS!$B$25)*K81-P81*G81</f>
        <v>2353.0928068192889</v>
      </c>
      <c r="H82" s="141">
        <f>PARAMETERS!$B$22*G82^(1-PARAMETERS!$B$20)</f>
        <v>921.38660035677003</v>
      </c>
      <c r="I82" s="141">
        <f t="shared" si="9"/>
        <v>1.3550851003078219E-2</v>
      </c>
      <c r="K82" s="141">
        <f>PARAMETERS!$B$18*D82*H82</f>
        <v>318.67885871988926</v>
      </c>
      <c r="L82" s="141">
        <f t="shared" si="10"/>
        <v>2.6255786530801493E-2</v>
      </c>
      <c r="M82" s="28">
        <f>PARAMETERS!$B$21*EFFICIENCY!H82</f>
        <v>16.60156036678865</v>
      </c>
      <c r="N82" s="13">
        <f t="shared" si="11"/>
        <v>1096.8807050125458</v>
      </c>
      <c r="O82" s="4">
        <f>PARAMETERS!$B$9*N82</f>
        <v>2.4019285511223631</v>
      </c>
      <c r="P82" s="4">
        <f>MAX(PARAMETERS!$B$6,PARAMETERS!$B$6+PARAMETERS!$B$10*(O82-PARAMETERS!$B$11))</f>
        <v>4.3528928266835444E-2</v>
      </c>
      <c r="Q82" s="4">
        <f t="shared" si="12"/>
        <v>1.9789204284206672</v>
      </c>
      <c r="S82" s="23">
        <v>932.5893426653123</v>
      </c>
      <c r="T82" s="4">
        <f t="shared" si="14"/>
        <v>8.6140285374498485E-2</v>
      </c>
      <c r="U82" s="148">
        <f t="shared" si="13"/>
        <v>3699.5333523033923</v>
      </c>
    </row>
    <row r="83" spans="1:24" ht="20.149999999999999" customHeight="1" x14ac:dyDescent="0.35">
      <c r="A83" s="1">
        <f t="shared" si="7"/>
        <v>2057</v>
      </c>
      <c r="C83" s="13">
        <f>C82+PARAMETERS!$B$5*PARAMETERS!$B$25*K82-P82*C82</f>
        <v>1384.7098046150134</v>
      </c>
      <c r="D83" s="4">
        <f>PARAMETERS!$B$19*C83^PARAMETERS!$B$20</f>
        <v>0.29568821307668153</v>
      </c>
      <c r="E83" s="4">
        <f t="shared" si="8"/>
        <v>1.2218694619108163E-2</v>
      </c>
      <c r="G83" s="141">
        <f>G82+PARAMETERS!$B$5*(1-PARAMETERS!$B$25)*K82-P82*G82</f>
        <v>2408.7299127511105</v>
      </c>
      <c r="H83" s="141">
        <f>PARAMETERS!$B$22*G83^(1-PARAMETERS!$B$20)</f>
        <v>933.66917364184235</v>
      </c>
      <c r="I83" s="141">
        <f t="shared" si="9"/>
        <v>1.3330531701151702E-2</v>
      </c>
      <c r="K83" s="141">
        <f>PARAMETERS!$B$18*D83*H83</f>
        <v>326.87276395778287</v>
      </c>
      <c r="L83" s="141">
        <f t="shared" si="10"/>
        <v>2.571210801622658E-2</v>
      </c>
      <c r="M83" s="28">
        <f>PARAMETERS!$B$21*EFFICIENCY!H83</f>
        <v>16.822867993546708</v>
      </c>
      <c r="N83" s="13">
        <f t="shared" si="11"/>
        <v>1113.4822653793344</v>
      </c>
      <c r="O83" s="4">
        <f>PARAMETERS!$B$9*N83</f>
        <v>2.4382823329474479</v>
      </c>
      <c r="P83" s="4">
        <f>MAX(PARAMETERS!$B$6,PARAMETERS!$B$6+PARAMETERS!$B$10*(O83-PARAMETERS!$B$11))</f>
        <v>4.4074234994211717E-2</v>
      </c>
      <c r="Q83" s="4">
        <f t="shared" si="12"/>
        <v>1.9550630396658424</v>
      </c>
      <c r="S83" s="23">
        <v>942.35163252826726</v>
      </c>
      <c r="T83" s="4">
        <f t="shared" si="14"/>
        <v>8.6167907838730198E-2</v>
      </c>
      <c r="U83" s="148">
        <f t="shared" si="13"/>
        <v>3793.4397173661237</v>
      </c>
    </row>
    <row r="84" spans="1:24" ht="20.149999999999999" customHeight="1" x14ac:dyDescent="0.35">
      <c r="A84" s="1">
        <f t="shared" si="7"/>
        <v>2058</v>
      </c>
      <c r="C84" s="13">
        <f>C83+PARAMETERS!$B$5*PARAMETERS!$B$25*K83-P83*C83</f>
        <v>1423.0490995307882</v>
      </c>
      <c r="D84" s="4">
        <f>PARAMETERS!$B$19*C84^PARAMETERS!$B$20</f>
        <v>0.299208433447408</v>
      </c>
      <c r="E84" s="4">
        <f t="shared" si="8"/>
        <v>1.1905176517176763E-2</v>
      </c>
      <c r="G84" s="141">
        <f>G83+PARAMETERS!$B$5*(1-PARAMETERS!$B$25)*K83-P83*G83</f>
        <v>2464.6958754619914</v>
      </c>
      <c r="H84" s="141">
        <f>PARAMETERS!$B$22*G84^(1-PARAMETERS!$B$20)</f>
        <v>945.90092877269751</v>
      </c>
      <c r="I84" s="141">
        <f t="shared" si="9"/>
        <v>1.3100737901781999E-2</v>
      </c>
      <c r="K84" s="141">
        <f>PARAMETERS!$B$18*D84*H84</f>
        <v>335.09749755192001</v>
      </c>
      <c r="L84" s="141">
        <f t="shared" si="10"/>
        <v>2.5161881016184669E-2</v>
      </c>
      <c r="M84" s="28">
        <f>PARAMETERS!$B$21*EFFICIENCY!H84</f>
        <v>17.043259977886443</v>
      </c>
      <c r="N84" s="13">
        <f t="shared" si="11"/>
        <v>1130.3051333728811</v>
      </c>
      <c r="O84" s="4">
        <f>PARAMETERS!$B$9*N84</f>
        <v>2.4751207300136082</v>
      </c>
      <c r="P84" s="4">
        <f>MAX(PARAMETERS!$B$6,PARAMETERS!$B$6+PARAMETERS!$B$10*(O84-PARAMETERS!$B$11))</f>
        <v>4.462681095020412E-2</v>
      </c>
      <c r="Q84" s="4">
        <f t="shared" si="12"/>
        <v>1.9314237293470369</v>
      </c>
      <c r="S84" s="23">
        <v>951.98598828260583</v>
      </c>
      <c r="T84" s="4">
        <f t="shared" si="14"/>
        <v>8.6193281634308422E-2</v>
      </c>
      <c r="U84" s="148">
        <f t="shared" si="13"/>
        <v>3887.7449749927796</v>
      </c>
    </row>
    <row r="85" spans="1:24" ht="20.149999999999999" customHeight="1" x14ac:dyDescent="0.35">
      <c r="A85" s="1">
        <f t="shared" si="7"/>
        <v>2059</v>
      </c>
      <c r="C85" s="13">
        <f>C84+PARAMETERS!$B$5*PARAMETERS!$B$25*K84-P84*C84</f>
        <v>1461.4125956489534</v>
      </c>
      <c r="D85" s="4">
        <f>PARAMETERS!$B$19*C85^PARAMETERS!$B$20</f>
        <v>0.30267748282479967</v>
      </c>
      <c r="E85" s="4">
        <f t="shared" si="8"/>
        <v>1.1594089569675956E-2</v>
      </c>
      <c r="G85" s="141">
        <f>G84+PARAMETERS!$B$5*(1-PARAMETERS!$B$25)*K84-P84*G84</f>
        <v>2520.9127173637535</v>
      </c>
      <c r="H85" s="141">
        <f>PARAMETERS!$B$22*G85^(1-PARAMETERS!$B$20)</f>
        <v>958.06693518798056</v>
      </c>
      <c r="I85" s="141">
        <f t="shared" si="9"/>
        <v>1.2861818870469229E-2</v>
      </c>
      <c r="K85" s="141">
        <f>PARAMETERS!$B$18*D85*H85</f>
        <v>343.34258137131621</v>
      </c>
      <c r="L85" s="141">
        <f t="shared" si="10"/>
        <v>2.4605029520158403E-2</v>
      </c>
      <c r="M85" s="28">
        <f>PARAMETERS!$B$21*EFFICIENCY!H85</f>
        <v>17.262467300684335</v>
      </c>
      <c r="N85" s="13">
        <f t="shared" si="11"/>
        <v>1147.3483933507675</v>
      </c>
      <c r="O85" s="4">
        <f>PARAMETERS!$B$9*N85</f>
        <v>2.5124417372644547</v>
      </c>
      <c r="P85" s="4">
        <f>MAX(PARAMETERS!$B$6,PARAMETERS!$B$6+PARAMETERS!$B$10*(O85-PARAMETERS!$B$11))</f>
        <v>4.5186626058966818E-2</v>
      </c>
      <c r="Q85" s="4">
        <f t="shared" si="12"/>
        <v>1.9080116342660554</v>
      </c>
      <c r="S85" s="23">
        <v>961.483888018073</v>
      </c>
      <c r="T85" s="4">
        <f t="shared" si="14"/>
        <v>8.6216608233738404E-2</v>
      </c>
      <c r="U85" s="148">
        <f t="shared" si="13"/>
        <v>3982.3253130127068</v>
      </c>
    </row>
    <row r="86" spans="1:24" ht="20.149999999999999" customHeight="1" x14ac:dyDescent="0.35">
      <c r="A86" s="1">
        <f t="shared" si="7"/>
        <v>2060</v>
      </c>
      <c r="C86" s="13">
        <f>C85+PARAMETERS!$B$5*PARAMETERS!$B$25*K85-P85*C85</f>
        <v>1499.7524359083802</v>
      </c>
      <c r="D86" s="4">
        <f>PARAMETERS!$B$19*C86^PARAMETERS!$B$20</f>
        <v>0.30609321046446175</v>
      </c>
      <c r="E86" s="4">
        <f t="shared" si="8"/>
        <v>1.1285040458854428E-2</v>
      </c>
      <c r="G86" s="141">
        <f>G85+PARAMETERS!$B$5*(1-PARAMETERS!$B$25)*K85-P85*G85</f>
        <v>2577.2990974371164</v>
      </c>
      <c r="H86" s="141">
        <f>PARAMETERS!$B$22*G86^(1-PARAMETERS!$B$20)</f>
        <v>970.15209486939375</v>
      </c>
      <c r="I86" s="141">
        <f t="shared" si="9"/>
        <v>1.2614107884896352E-2</v>
      </c>
      <c r="K86" s="141">
        <f>PARAMETERS!$B$18*D86*H86</f>
        <v>351.59705171915664</v>
      </c>
      <c r="L86" s="141">
        <f t="shared" si="10"/>
        <v>2.4041499061584284E-2</v>
      </c>
      <c r="M86" s="28">
        <f>PARAMETERS!$B$21*EFFICIENCY!H86</f>
        <v>17.480217925574664</v>
      </c>
      <c r="N86" s="13">
        <f t="shared" si="11"/>
        <v>1164.610860651452</v>
      </c>
      <c r="O86" s="4">
        <f>PARAMETERS!$B$9*N86</f>
        <v>2.550242760550625</v>
      </c>
      <c r="P86" s="4">
        <f>MAX(PARAMETERS!$B$6,PARAMETERS!$B$6+PARAMETERS!$B$10*(O86-PARAMETERS!$B$11))</f>
        <v>4.5753641408259375E-2</v>
      </c>
      <c r="Q86" s="4">
        <f t="shared" si="12"/>
        <v>1.8848350953470767</v>
      </c>
      <c r="S86" s="23">
        <v>970.83677726077701</v>
      </c>
      <c r="T86" s="4">
        <f t="shared" si="14"/>
        <v>8.6238069066212522E-2</v>
      </c>
      <c r="U86" s="148">
        <f t="shared" si="13"/>
        <v>4077.0515333454969</v>
      </c>
    </row>
    <row r="87" spans="1:24" ht="20.149999999999999" customHeight="1" x14ac:dyDescent="0.35">
      <c r="A87" s="1">
        <f t="shared" si="7"/>
        <v>2061</v>
      </c>
      <c r="C87" s="13">
        <f>C86+PARAMETERS!$B$5*PARAMETERS!$B$25*K86-P86*C86</f>
        <v>1538.0188044772885</v>
      </c>
      <c r="D87" s="4">
        <f>PARAMETERS!$B$19*C87^PARAMETERS!$B$20</f>
        <v>0.30945340085435874</v>
      </c>
      <c r="E87" s="4">
        <f t="shared" si="8"/>
        <v>1.0977670444889258E-2</v>
      </c>
      <c r="G87" s="141">
        <f>G86+PARAMETERS!$B$5*(1-PARAMETERS!$B$25)*K86-P86*G86</f>
        <v>2633.7704163838498</v>
      </c>
      <c r="H87" s="141">
        <f>PARAMETERS!$B$22*G87^(1-PARAMETERS!$B$20)</f>
        <v>982.14116021392317</v>
      </c>
      <c r="I87" s="141">
        <f t="shared" si="9"/>
        <v>1.2357923471930907E-2</v>
      </c>
      <c r="K87" s="141">
        <f>PARAMETERS!$B$18*D87*H87</f>
        <v>359.84947582233707</v>
      </c>
      <c r="L87" s="141">
        <f t="shared" si="10"/>
        <v>2.3471255128078197E-2</v>
      </c>
      <c r="M87" s="28">
        <f>PARAMETERS!$B$21*EFFICIENCY!H87</f>
        <v>17.696237120971588</v>
      </c>
      <c r="N87" s="13">
        <f t="shared" si="11"/>
        <v>1182.0910785770266</v>
      </c>
      <c r="O87" s="4">
        <f>PARAMETERS!$B$9*N87</f>
        <v>2.5885206100226861</v>
      </c>
      <c r="P87" s="4">
        <f>MAX(PARAMETERS!$B$6,PARAMETERS!$B$6+PARAMETERS!$B$10*(O87-PARAMETERS!$B$11))</f>
        <v>4.6327809150340293E-2</v>
      </c>
      <c r="Q87" s="4">
        <f t="shared" si="12"/>
        <v>1.8619017234796873</v>
      </c>
      <c r="S87" s="23">
        <v>980.03608262817954</v>
      </c>
      <c r="T87" s="4">
        <f t="shared" si="14"/>
        <v>8.6257827702056616E-2</v>
      </c>
      <c r="U87" s="148">
        <f t="shared" si="13"/>
        <v>4171.7892208611383</v>
      </c>
    </row>
    <row r="88" spans="1:24" ht="20.149999999999999" customHeight="1" x14ac:dyDescent="0.35">
      <c r="A88" s="1">
        <f t="shared" si="7"/>
        <v>2062</v>
      </c>
      <c r="C88" s="13">
        <f>C87+PARAMETERS!$B$5*PARAMETERS!$B$25*K87-P87*C87</f>
        <v>1576.1600034838207</v>
      </c>
      <c r="D88" s="4">
        <f>PARAMETERS!$B$19*C88^PARAMETERS!$B$20</f>
        <v>0.31275578011084959</v>
      </c>
      <c r="E88" s="4">
        <f t="shared" si="8"/>
        <v>1.0671652815491543E-2</v>
      </c>
      <c r="G88" s="141">
        <f>G87+PARAMETERS!$B$5*(1-PARAMETERS!$B$25)*K87-P87*G87</f>
        <v>2690.2389431956858</v>
      </c>
      <c r="H88" s="141">
        <f>PARAMETERS!$B$22*G88^(1-PARAMETERS!$B$20)</f>
        <v>994.01875366203979</v>
      </c>
      <c r="I88" s="141">
        <f t="shared" si="9"/>
        <v>1.2093570587683667E-2</v>
      </c>
      <c r="K88" s="141">
        <f>PARAMETERS!$B$18*D88*H88</f>
        <v>368.08797112372059</v>
      </c>
      <c r="L88" s="141">
        <f t="shared" si="10"/>
        <v>2.2894281789786426E-2</v>
      </c>
      <c r="M88" s="28">
        <f>PARAMETERS!$B$21*EFFICIENCY!H88</f>
        <v>17.910247813730447</v>
      </c>
      <c r="N88" s="13">
        <f t="shared" si="11"/>
        <v>1199.7873156979981</v>
      </c>
      <c r="O88" s="4">
        <f>PARAMETERS!$B$9*N88</f>
        <v>2.627271494229193</v>
      </c>
      <c r="P88" s="4">
        <f>MAX(PARAMETERS!$B$6,PARAMETERS!$B$6+PARAMETERS!$B$10*(O88-PARAMETERS!$B$11))</f>
        <v>4.6909072413437891E-2</v>
      </c>
      <c r="Q88" s="4">
        <f t="shared" si="12"/>
        <v>1.8392184569935977</v>
      </c>
      <c r="S88" s="23">
        <v>989.07322593819174</v>
      </c>
      <c r="T88" s="4">
        <f t="shared" si="14"/>
        <v>8.6276031783244181E-2</v>
      </c>
      <c r="U88" s="148">
        <f t="shared" si="13"/>
        <v>4266.3989466795065</v>
      </c>
    </row>
    <row r="89" spans="1:24" ht="20.149999999999999" customHeight="1" x14ac:dyDescent="0.35">
      <c r="A89" s="1">
        <f t="shared" si="7"/>
        <v>2063</v>
      </c>
      <c r="C89" s="13">
        <f>C88+PARAMETERS!$B$5*PARAMETERS!$B$25*K88-P88*C88</f>
        <v>1614.1225429668448</v>
      </c>
      <c r="D89" s="4">
        <f>PARAMETERS!$B$19*C89^PARAMETERS!$B$20</f>
        <v>0.31599802251073494</v>
      </c>
      <c r="E89" s="4">
        <f t="shared" si="8"/>
        <v>1.0366690581181937E-2</v>
      </c>
      <c r="G89" s="141">
        <f>G88+PARAMETERS!$B$5*(1-PARAMETERS!$B$25)*K88-P88*G88</f>
        <v>2746.6139634772339</v>
      </c>
      <c r="H89" s="141">
        <f>PARAMETERS!$B$22*G89^(1-PARAMETERS!$B$20)</f>
        <v>1005.7693890455025</v>
      </c>
      <c r="I89" s="141">
        <f t="shared" si="9"/>
        <v>1.1821341740457625E-2</v>
      </c>
      <c r="K89" s="141">
        <f>PARAMETERS!$B$18*D89*H89</f>
        <v>376.30022743960723</v>
      </c>
      <c r="L89" s="141">
        <f t="shared" si="10"/>
        <v>2.2310580513717346E-2</v>
      </c>
      <c r="M89" s="28">
        <f>PARAMETERS!$B$21*EFFICIENCY!H89</f>
        <v>18.121970973792838</v>
      </c>
      <c r="N89" s="13">
        <f t="shared" si="11"/>
        <v>1217.6975635117285</v>
      </c>
      <c r="O89" s="4">
        <f>PARAMETERS!$B$9*N89</f>
        <v>2.6664910149891869</v>
      </c>
      <c r="P89" s="4">
        <f>MAX(PARAMETERS!$B$6,PARAMETERS!$B$6+PARAMETERS!$B$10*(O89-PARAMETERS!$B$11))</f>
        <v>4.7497365224837801E-2</v>
      </c>
      <c r="Q89" s="4">
        <f t="shared" si="12"/>
        <v>1.8167916119585024</v>
      </c>
      <c r="S89" s="23">
        <v>997.93963874282213</v>
      </c>
      <c r="T89" s="4">
        <f t="shared" si="14"/>
        <v>8.6292814730614786E-2</v>
      </c>
      <c r="U89" s="148">
        <f t="shared" si="13"/>
        <v>4360.7365064440783</v>
      </c>
      <c r="W89" s="6"/>
    </row>
    <row r="90" spans="1:24" ht="20.149999999999999" customHeight="1" x14ac:dyDescent="0.35">
      <c r="A90" s="1">
        <f t="shared" si="7"/>
        <v>2064</v>
      </c>
      <c r="C90" s="13">
        <f>C89+PARAMETERS!$B$5*PARAMETERS!$B$25*K89-P89*C89</f>
        <v>1651.8512441675452</v>
      </c>
      <c r="D90" s="4">
        <f>PARAMETERS!$B$19*C90^PARAMETERS!$B$20</f>
        <v>0.31917775715885788</v>
      </c>
      <c r="E90" s="4">
        <f t="shared" si="8"/>
        <v>1.0062514388092138E-2</v>
      </c>
      <c r="G90" s="141">
        <f>G89+PARAMETERS!$B$5*(1-PARAMETERS!$B$25)*K89-P89*G89</f>
        <v>2802.8019497323617</v>
      </c>
      <c r="H90" s="141">
        <f>PARAMETERS!$B$22*G90^(1-PARAMETERS!$B$20)</f>
        <v>1017.3774946100918</v>
      </c>
      <c r="I90" s="141">
        <f t="shared" si="9"/>
        <v>1.1541518056744273E-2</v>
      </c>
      <c r="K90" s="141">
        <f>PARAMETERS!$B$18*D90*H90</f>
        <v>384.47353202563983</v>
      </c>
      <c r="L90" s="141">
        <f t="shared" si="10"/>
        <v>2.172016913634298E-2</v>
      </c>
      <c r="M90" s="28">
        <f>PARAMETERS!$B$21*EFFICIENCY!H90</f>
        <v>18.331126029010665</v>
      </c>
      <c r="N90" s="13">
        <f t="shared" si="11"/>
        <v>1235.8195344855214</v>
      </c>
      <c r="O90" s="4">
        <f>PARAMETERS!$B$9*N90</f>
        <v>2.7061741631069816</v>
      </c>
      <c r="P90" s="4">
        <f>MAX(PARAMETERS!$B$6,PARAMETERS!$B$6+PARAMETERS!$B$10*(O90-PARAMETERS!$B$11))</f>
        <v>4.8092612446604718E-2</v>
      </c>
      <c r="Q90" s="4">
        <f t="shared" si="12"/>
        <v>1.7946269263394339</v>
      </c>
      <c r="S90" s="23">
        <v>1006.6267772539667</v>
      </c>
      <c r="T90" s="4">
        <f t="shared" si="14"/>
        <v>8.6308297254683822E-2</v>
      </c>
      <c r="U90" s="148">
        <f t="shared" si="13"/>
        <v>4454.6531938999069</v>
      </c>
      <c r="X90" s="6"/>
    </row>
    <row r="91" spans="1:24" ht="20.149999999999999" customHeight="1" x14ac:dyDescent="0.35">
      <c r="A91" s="1">
        <f t="shared" si="7"/>
        <v>2065</v>
      </c>
      <c r="C91" s="13">
        <f>C90+PARAMETERS!$B$5*PARAMETERS!$B$25*K90-P90*C90</f>
        <v>1689.2893561981482</v>
      </c>
      <c r="D91" s="4">
        <f>PARAMETERS!$B$19*C91^PARAMETERS!$B$20</f>
        <v>0.32229257478867529</v>
      </c>
      <c r="E91" s="4">
        <f t="shared" si="8"/>
        <v>9.7588806235866157E-3</v>
      </c>
      <c r="G91" s="141">
        <f>G90+PARAMETERS!$B$5*(1-PARAMETERS!$B$25)*K90-P90*G90</f>
        <v>2858.7067536840127</v>
      </c>
      <c r="H91" s="141">
        <f>PARAMETERS!$B$22*G91^(1-PARAMETERS!$B$20)</f>
        <v>1028.8274376598367</v>
      </c>
      <c r="I91" s="141">
        <f t="shared" si="9"/>
        <v>1.1254370290678642E-2</v>
      </c>
      <c r="K91" s="141">
        <f>PARAMETERS!$B$18*D91*H91</f>
        <v>392.59479757360293</v>
      </c>
      <c r="L91" s="141">
        <f t="shared" si="10"/>
        <v>2.1123080970425586E-2</v>
      </c>
      <c r="M91" s="28">
        <f>PARAMETERS!$B$21*EFFICIENCY!H91</f>
        <v>18.537431309186246</v>
      </c>
      <c r="N91" s="13">
        <f t="shared" si="11"/>
        <v>1254.1506605145321</v>
      </c>
      <c r="O91" s="4">
        <f>PARAMETERS!$B$9*N91</f>
        <v>2.7463153149953259</v>
      </c>
      <c r="P91" s="4">
        <f>MAX(PARAMETERS!$B$6,PARAMETERS!$B$6+PARAMETERS!$B$10*(O91-PARAMETERS!$B$11))</f>
        <v>4.8694729724929886E-2</v>
      </c>
      <c r="Q91" s="4">
        <f t="shared" si="12"/>
        <v>1.7727295988961933</v>
      </c>
      <c r="S91" s="23">
        <v>1015.1261376260783</v>
      </c>
      <c r="T91" s="4">
        <f t="shared" si="14"/>
        <v>8.6322588693633504E-2</v>
      </c>
      <c r="U91" s="148">
        <f t="shared" si="13"/>
        <v>4547.9961098821605</v>
      </c>
    </row>
    <row r="92" spans="1:24" ht="20.149999999999999" customHeight="1" x14ac:dyDescent="0.35">
      <c r="A92" s="1">
        <f t="shared" si="7"/>
        <v>2066</v>
      </c>
      <c r="C92" s="13">
        <f>C91+PARAMETERS!$B$5*PARAMETERS!$B$25*K91-P91*C91</f>
        <v>1726.3786860332539</v>
      </c>
      <c r="D92" s="4">
        <f>PARAMETERS!$B$19*C92^PARAMETERS!$B$20</f>
        <v>0.3253400346911563</v>
      </c>
      <c r="E92" s="4">
        <f t="shared" si="8"/>
        <v>9.4555696930939369E-3</v>
      </c>
      <c r="G92" s="141">
        <f>G91+PARAMETERS!$B$5*(1-PARAMETERS!$B$25)*K91-P91*G91</f>
        <v>2914.2298205470452</v>
      </c>
      <c r="H92" s="141">
        <f>PARAMETERS!$B$22*G92^(1-PARAMETERS!$B$20)</f>
        <v>1040.103550760175</v>
      </c>
      <c r="I92" s="141">
        <f t="shared" si="9"/>
        <v>1.0960159777607477E-2</v>
      </c>
      <c r="K92" s="141">
        <f>PARAMETERS!$B$18*D92*H92</f>
        <v>400.65059313946483</v>
      </c>
      <c r="L92" s="141">
        <f t="shared" si="10"/>
        <v>2.051936402532592E-2</v>
      </c>
      <c r="M92" s="28">
        <f>PARAMETERS!$B$21*EFFICIENCY!H92</f>
        <v>18.740604518201351</v>
      </c>
      <c r="N92" s="13">
        <f t="shared" si="11"/>
        <v>1272.6880918237184</v>
      </c>
      <c r="O92" s="4">
        <f>PARAMETERS!$B$9*N92</f>
        <v>2.7869082302709165</v>
      </c>
      <c r="P92" s="4">
        <f>MAX(PARAMETERS!$B$6,PARAMETERS!$B$6+PARAMETERS!$B$10*(O92-PARAMETERS!$B$11))</f>
        <v>4.930362345406375E-2</v>
      </c>
      <c r="Q92" s="4">
        <f t="shared" si="12"/>
        <v>1.7511043235924988</v>
      </c>
      <c r="S92" s="23">
        <v>1023.4292715577388</v>
      </c>
      <c r="T92" s="4">
        <f t="shared" si="14"/>
        <v>8.6335788199187566E-2</v>
      </c>
      <c r="U92" s="148">
        <f t="shared" si="13"/>
        <v>4640.608506580299</v>
      </c>
    </row>
    <row r="93" spans="1:24" ht="20.149999999999999" customHeight="1" x14ac:dyDescent="0.35">
      <c r="A93" s="1">
        <f t="shared" si="7"/>
        <v>2067</v>
      </c>
      <c r="C93" s="13">
        <f>C92+PARAMETERS!$B$5*PARAMETERS!$B$25*K92-P92*C92</f>
        <v>1763.0597416723465</v>
      </c>
      <c r="D93" s="4">
        <f>PARAMETERS!$B$19*C93^PARAMETERS!$B$20</f>
        <v>0.32831767176532511</v>
      </c>
      <c r="E93" s="4">
        <f t="shared" si="8"/>
        <v>9.1523844490748619E-3</v>
      </c>
      <c r="G93" s="141">
        <f>G92+PARAMETERS!$B$5*(1-PARAMETERS!$B$25)*K92-P92*G92</f>
        <v>2969.2704250133643</v>
      </c>
      <c r="H93" s="141">
        <f>PARAMETERS!$B$22*G93^(1-PARAMETERS!$B$20)</f>
        <v>1051.1901594280102</v>
      </c>
      <c r="I93" s="141">
        <f t="shared" si="9"/>
        <v>1.0659139332552414E-2</v>
      </c>
      <c r="K93" s="141">
        <f>PARAMETERS!$B$18*D93*H93</f>
        <v>408.62717797961386</v>
      </c>
      <c r="L93" s="141">
        <f t="shared" si="10"/>
        <v>1.9909080322695075E-2</v>
      </c>
      <c r="M93" s="28">
        <f>PARAMETERS!$B$21*EFFICIENCY!H93</f>
        <v>18.94036323293712</v>
      </c>
      <c r="N93" s="13">
        <f t="shared" si="11"/>
        <v>1291.4286963419197</v>
      </c>
      <c r="O93" s="4">
        <f>PARAMETERS!$B$9*N93</f>
        <v>2.8279460503837659</v>
      </c>
      <c r="P93" s="4">
        <f>MAX(PARAMETERS!$B$6,PARAMETERS!$B$6+PARAMETERS!$B$10*(O93-PARAMETERS!$B$11))</f>
        <v>4.9919190755756487E-2</v>
      </c>
      <c r="Q93" s="4">
        <f t="shared" si="12"/>
        <v>1.7297553201736067</v>
      </c>
      <c r="S93" s="23">
        <v>1031.5278021714087</v>
      </c>
      <c r="T93" s="4">
        <f t="shared" si="14"/>
        <v>8.6347985788530909E-2</v>
      </c>
      <c r="U93" s="148">
        <f t="shared" si="13"/>
        <v>4732.3301666857105</v>
      </c>
    </row>
    <row r="94" spans="1:24" ht="20.149999999999999" customHeight="1" x14ac:dyDescent="0.35">
      <c r="A94" s="1">
        <f t="shared" si="7"/>
        <v>2068</v>
      </c>
      <c r="C94" s="13">
        <f>C93+PARAMETERS!$B$5*PARAMETERS!$B$25*K93-P93*C93</f>
        <v>1799.2718882198124</v>
      </c>
      <c r="D94" s="4">
        <f>PARAMETERS!$B$19*C94^PARAMETERS!$B$20</f>
        <v>0.33122300368179169</v>
      </c>
      <c r="E94" s="4">
        <f t="shared" si="8"/>
        <v>8.8491487553653617E-3</v>
      </c>
      <c r="G94" s="141">
        <f>G93+PARAMETERS!$B$5*(1-PARAMETERS!$B$25)*K93-P93*G93</f>
        <v>3023.7259285395844</v>
      </c>
      <c r="H94" s="141">
        <f>PARAMETERS!$B$22*G94^(1-PARAMETERS!$B$20)</f>
        <v>1062.0716112269763</v>
      </c>
      <c r="I94" s="141">
        <f t="shared" si="9"/>
        <v>1.0351554094538935E-2</v>
      </c>
      <c r="K94" s="141">
        <f>PARAMETERS!$B$18*D94*H94</f>
        <v>416.51053824777887</v>
      </c>
      <c r="L94" s="141">
        <f t="shared" si="10"/>
        <v>1.9292305291936068E-2</v>
      </c>
      <c r="M94" s="28">
        <f>PARAMETERS!$B$21*EFFICIENCY!H94</f>
        <v>19.136425427513085</v>
      </c>
      <c r="N94" s="13">
        <f t="shared" si="11"/>
        <v>1310.3690595748569</v>
      </c>
      <c r="O94" s="4">
        <f>PARAMETERS!$B$9*N94</f>
        <v>2.8694212983391032</v>
      </c>
      <c r="P94" s="4">
        <f>MAX(PARAMETERS!$B$6,PARAMETERS!$B$6+PARAMETERS!$B$10*(O94-PARAMETERS!$B$11))</f>
        <v>5.0541319475086548E-2</v>
      </c>
      <c r="Q94" s="4">
        <f t="shared" si="12"/>
        <v>1.7086863614786287</v>
      </c>
      <c r="S94" s="23">
        <v>1039.4134401281449</v>
      </c>
      <c r="T94" s="4">
        <f t="shared" si="14"/>
        <v>8.6359263278214596E-2</v>
      </c>
      <c r="U94" s="148">
        <f t="shared" si="13"/>
        <v>4822.9978167593963</v>
      </c>
    </row>
    <row r="95" spans="1:24" ht="20.149999999999999" customHeight="1" x14ac:dyDescent="0.35">
      <c r="A95" s="1">
        <f t="shared" si="7"/>
        <v>2069</v>
      </c>
      <c r="C95" s="13">
        <f>C94+PARAMETERS!$B$5*PARAMETERS!$B$25*K94-P94*C94</f>
        <v>1834.9535165220775</v>
      </c>
      <c r="D95" s="4">
        <f>PARAMETERS!$B$19*C95^PARAMETERS!$B$20</f>
        <v>0.33405353814867855</v>
      </c>
      <c r="E95" s="4">
        <f t="shared" si="8"/>
        <v>8.5457061720452636E-3</v>
      </c>
      <c r="G95" s="141">
        <f>G94+PARAMETERS!$B$5*(1-PARAMETERS!$B$25)*K94-P94*G94</f>
        <v>3077.4920573510608</v>
      </c>
      <c r="H95" s="141">
        <f>PARAMETERS!$B$22*G95^(1-PARAMETERS!$B$20)</f>
        <v>1072.7323061764175</v>
      </c>
      <c r="I95" s="141">
        <f t="shared" si="9"/>
        <v>1.0037642317852064E-2</v>
      </c>
      <c r="K95" s="141">
        <f>PARAMETERS!$B$18*D95*H95</f>
        <v>424.28642647971452</v>
      </c>
      <c r="L95" s="141">
        <f t="shared" si="10"/>
        <v>1.8669127231805686E-2</v>
      </c>
      <c r="M95" s="28">
        <f>PARAMETERS!$B$21*EFFICIENCY!H95</f>
        <v>19.328510021196713</v>
      </c>
      <c r="N95" s="13">
        <f t="shared" si="11"/>
        <v>1329.5054850023701</v>
      </c>
      <c r="O95" s="4">
        <f>PARAMETERS!$B$9*N95</f>
        <v>2.9113258795672339</v>
      </c>
      <c r="P95" s="4">
        <f>MAX(PARAMETERS!$B$6,PARAMETERS!$B$6+PARAMETERS!$B$10*(O95-PARAMETERS!$B$11))</f>
        <v>5.1169888193508505E-2</v>
      </c>
      <c r="Q95" s="4">
        <f t="shared" si="12"/>
        <v>1.6879007979734488</v>
      </c>
      <c r="S95" s="23">
        <v>1047.0779999315596</v>
      </c>
      <c r="T95" s="4">
        <f>K95/(C95+G95)</f>
        <v>8.6369695114035167E-2</v>
      </c>
      <c r="U95" s="148">
        <f t="shared" si="13"/>
        <v>4912.4455738731385</v>
      </c>
    </row>
    <row r="96" spans="1:24" ht="20.149999999999999" customHeight="1" x14ac:dyDescent="0.35">
      <c r="A96" s="1">
        <f t="shared" si="7"/>
        <v>2070</v>
      </c>
      <c r="C96" s="13">
        <f>C95+PARAMETERS!$B$5*PARAMETERS!$B$25*K95-P95*C95</f>
        <v>1870.0422238911906</v>
      </c>
      <c r="D96" s="4">
        <f>PARAMETERS!$B$19*C96^PARAMETERS!$B$20</f>
        <v>0.33680678026748434</v>
      </c>
      <c r="E96" s="4">
        <f t="shared" si="8"/>
        <v>8.2419187477080127E-3</v>
      </c>
      <c r="G96" s="141">
        <f>G95+PARAMETERS!$B$5*(1-PARAMETERS!$B$25)*K95-P95*G95</f>
        <v>3130.463200393935</v>
      </c>
      <c r="H96" s="141">
        <f>PARAMETERS!$B$22*G96^(1-PARAMETERS!$B$20)</f>
        <v>1083.1567283727532</v>
      </c>
      <c r="I96" s="141">
        <f t="shared" si="9"/>
        <v>9.7176361113722864E-3</v>
      </c>
      <c r="K96" s="141">
        <f>PARAMETERS!$B$18*D96*H96</f>
        <v>431.94040376661428</v>
      </c>
      <c r="L96" s="141">
        <f t="shared" si="10"/>
        <v>1.8039646826330191E-2</v>
      </c>
      <c r="M96" s="28">
        <f>PARAMETERS!$B$21*EFFICIENCY!H96</f>
        <v>19.516337448157714</v>
      </c>
      <c r="N96" s="13">
        <f t="shared" si="11"/>
        <v>1348.8339950235668</v>
      </c>
      <c r="O96" s="4">
        <f>PARAMETERS!$B$9*N96</f>
        <v>2.9536510839932122</v>
      </c>
      <c r="P96" s="4">
        <f>MAX(PARAMETERS!$B$6,PARAMETERS!$B$6+PARAMETERS!$B$10*(O96-PARAMETERS!$B$11))</f>
        <v>5.1804766259898181E-2</v>
      </c>
      <c r="Q96" s="4">
        <f t="shared" si="12"/>
        <v>1.6674015799205346</v>
      </c>
      <c r="S96" s="23">
        <v>1054.5134163730602</v>
      </c>
      <c r="T96" s="4">
        <f t="shared" si="14"/>
        <v>8.6379349109168238E-2</v>
      </c>
      <c r="U96" s="148">
        <f t="shared" si="13"/>
        <v>5000.5054242851256</v>
      </c>
    </row>
    <row r="97" spans="1:27" ht="20.149999999999999" customHeight="1" x14ac:dyDescent="0.35">
      <c r="A97" s="1">
        <f t="shared" si="7"/>
        <v>2071</v>
      </c>
      <c r="C97" s="13">
        <f>C96+PARAMETERS!$B$5*PARAMETERS!$B$25*K96-P96*C96</f>
        <v>1904.4750063314182</v>
      </c>
      <c r="D97" s="4">
        <f>PARAMETERS!$B$19*C97^PARAMETERS!$B$20</f>
        <v>0.33948023996461851</v>
      </c>
      <c r="E97" s="4">
        <f t="shared" si="8"/>
        <v>7.9376659074706611E-3</v>
      </c>
      <c r="G97" s="141">
        <f>G96+PARAMETERS!$B$5*(1-PARAMETERS!$B$25)*K96-P96*G96</f>
        <v>3182.5327262805554</v>
      </c>
      <c r="H97" s="141">
        <f>PARAMETERS!$B$22*G97^(1-PARAMETERS!$B$20)</f>
        <v>1093.3294787121197</v>
      </c>
      <c r="I97" s="141">
        <f t="shared" si="9"/>
        <v>9.3917621272124174E-3</v>
      </c>
      <c r="K97" s="141">
        <f>PARAMETERS!$B$18*D97*H97</f>
        <v>439.45788449160062</v>
      </c>
      <c r="L97" s="141">
        <f t="shared" si="10"/>
        <v>1.7403976704731195E-2</v>
      </c>
      <c r="M97" s="28">
        <f>PARAMETERS!$B$21*EFFICIENCY!H97</f>
        <v>19.699630247065219</v>
      </c>
      <c r="N97" s="13">
        <f t="shared" si="11"/>
        <v>1368.3503324717244</v>
      </c>
      <c r="O97" s="4">
        <f>PARAMETERS!$B$9*N97</f>
        <v>2.9963875893541414</v>
      </c>
      <c r="P97" s="4">
        <f>MAX(PARAMETERS!$B$6,PARAMETERS!$B$6+PARAMETERS!$B$10*(O97-PARAMETERS!$B$11))</f>
        <v>5.2445813840312119E-2</v>
      </c>
      <c r="Q97" s="4">
        <f t="shared" si="12"/>
        <v>1.6471912775416682</v>
      </c>
      <c r="S97" s="23">
        <v>1061.7117610682626</v>
      </c>
      <c r="T97" s="4">
        <f t="shared" si="14"/>
        <v>8.6388287101336225E-2</v>
      </c>
      <c r="U97" s="148">
        <f t="shared" si="13"/>
        <v>5087.0077326119736</v>
      </c>
    </row>
    <row r="98" spans="1:27" ht="20.149999999999999" customHeight="1" x14ac:dyDescent="0.35">
      <c r="A98" s="1">
        <f t="shared" si="7"/>
        <v>2072</v>
      </c>
      <c r="C98" s="13">
        <f>C97+PARAMETERS!$B$5*PARAMETERS!$B$25*K97-P97*C97</f>
        <v>1938.18846157128</v>
      </c>
      <c r="D98" s="4">
        <f>PARAMETERS!$B$19*C98^PARAMETERS!$B$20</f>
        <v>0.34207143948261881</v>
      </c>
      <c r="E98" s="4">
        <f t="shared" si="8"/>
        <v>7.6328434263813385E-3</v>
      </c>
      <c r="G98" s="141">
        <f>G97+PARAMETERS!$B$5*(1-PARAMETERS!$B$25)*K97-P97*G97</f>
        <v>3233.593318085178</v>
      </c>
      <c r="H98" s="141">
        <f>PARAMETERS!$B$22*G98^(1-PARAMETERS!$B$20)</f>
        <v>1103.2353085935963</v>
      </c>
      <c r="I98" s="141">
        <f t="shared" si="9"/>
        <v>9.0602421999497612E-3</v>
      </c>
      <c r="K98" s="141">
        <f>PARAMETERS!$B$18*D98*H98</f>
        <v>446.82418347681659</v>
      </c>
      <c r="L98" s="141">
        <f t="shared" si="10"/>
        <v>1.6762241036448522E-2</v>
      </c>
      <c r="M98" s="28">
        <f>PARAMETERS!$B$21*EFFICIENCY!H98</f>
        <v>19.878113668353087</v>
      </c>
      <c r="N98" s="13">
        <f t="shared" si="11"/>
        <v>1388.0499627187896</v>
      </c>
      <c r="O98" s="4">
        <f>PARAMETERS!$B$9*N98</f>
        <v>3.0395254658075688</v>
      </c>
      <c r="P98" s="4">
        <f>MAX(PARAMETERS!$B$6,PARAMETERS!$B$6+PARAMETERS!$B$10*(O98-PARAMETERS!$B$11))</f>
        <v>5.3092881987113531E-2</v>
      </c>
      <c r="Q98" s="4">
        <f t="shared" si="12"/>
        <v>1.6272720994775132</v>
      </c>
      <c r="S98" s="23">
        <v>1068.6652590325457</v>
      </c>
      <c r="T98" s="4">
        <f t="shared" si="14"/>
        <v>8.6396565538482073E-2</v>
      </c>
      <c r="U98" s="148">
        <f t="shared" si="13"/>
        <v>5171.7817796564577</v>
      </c>
      <c r="W98" s="6"/>
    </row>
    <row r="99" spans="1:27" ht="20.149999999999999" customHeight="1" x14ac:dyDescent="0.35">
      <c r="A99" s="1">
        <f t="shared" si="7"/>
        <v>2073</v>
      </c>
      <c r="C99" s="13">
        <f>C98+PARAMETERS!$B$5*PARAMETERS!$B$25*K98-P98*C98</f>
        <v>1971.1190020892432</v>
      </c>
      <c r="D99" s="4">
        <f>PARAMETERS!$B$19*C99^PARAMETERS!$B$20</f>
        <v>0.34457792091342143</v>
      </c>
      <c r="E99" s="4">
        <f t="shared" si="8"/>
        <v>7.3273624790004691E-3</v>
      </c>
      <c r="G99" s="141">
        <f>G98+PARAMETERS!$B$5*(1-PARAMETERS!$B$25)*K98-P98*G98</f>
        <v>3283.5373246582635</v>
      </c>
      <c r="H99" s="141">
        <f>PARAMETERS!$B$22*G99^(1-PARAMETERS!$B$20)</f>
        <v>1112.8591544729695</v>
      </c>
      <c r="I99" s="141">
        <f t="shared" si="9"/>
        <v>8.7232939377563014E-3</v>
      </c>
      <c r="K99" s="141">
        <f>PARAMETERS!$B$18*D99*H99</f>
        <v>454.02456536183246</v>
      </c>
      <c r="L99" s="141">
        <f t="shared" si="10"/>
        <v>1.6114575153449506E-2</v>
      </c>
      <c r="M99" s="28">
        <f>PARAMETERS!$B$21*EFFICIENCY!H99</f>
        <v>20.051516296810263</v>
      </c>
      <c r="N99" s="13">
        <f t="shared" si="11"/>
        <v>1407.9280763871427</v>
      </c>
      <c r="O99" s="4">
        <f>PARAMETERS!$B$9*N99</f>
        <v>3.083054181869656</v>
      </c>
      <c r="P99" s="4">
        <f>MAX(PARAMETERS!$B$6,PARAMETERS!$B$6+PARAMETERS!$B$10*(O99-PARAMETERS!$B$11))</f>
        <v>5.3745812728044837E-2</v>
      </c>
      <c r="Q99" s="4">
        <f t="shared" si="12"/>
        <v>1.6076459098027363</v>
      </c>
      <c r="S99" s="23">
        <v>1075.3663052419927</v>
      </c>
      <c r="T99" s="4">
        <f t="shared" si="14"/>
        <v>8.6404236001265122E-2</v>
      </c>
      <c r="U99" s="148">
        <f t="shared" si="13"/>
        <v>5254.6563267475067</v>
      </c>
      <c r="X99" s="6"/>
    </row>
    <row r="100" spans="1:27" ht="20.149999999999999" customHeight="1" x14ac:dyDescent="0.35">
      <c r="A100" s="1">
        <f t="shared" si="7"/>
        <v>2074</v>
      </c>
      <c r="C100" s="13">
        <f>C99+PARAMETERS!$B$5*PARAMETERS!$B$25*K99-P99*C99</f>
        <v>2003.2030772082612</v>
      </c>
      <c r="D100" s="4">
        <f>PARAMETERS!$B$19*C100^PARAMETERS!$B$20</f>
        <v>0.34699725375451518</v>
      </c>
      <c r="E100" s="4">
        <f t="shared" si="8"/>
        <v>7.0211487569501801E-3</v>
      </c>
      <c r="G100" s="141">
        <f>G99+PARAMETERS!$B$5*(1-PARAMETERS!$B$25)*K99-P99*G99</f>
        <v>3332.2571269411042</v>
      </c>
      <c r="H100" s="141">
        <f>PARAMETERS!$B$22*G100^(1-PARAMETERS!$B$20)</f>
        <v>1122.1861731280314</v>
      </c>
      <c r="I100" s="141">
        <f t="shared" si="9"/>
        <v>8.3811312667675646E-3</v>
      </c>
      <c r="K100" s="141">
        <f>PARAMETERS!$B$18*D100*H100</f>
        <v>461.04429600763154</v>
      </c>
      <c r="L100" s="141">
        <f t="shared" si="10"/>
        <v>1.546112519309335E-2</v>
      </c>
      <c r="M100" s="28">
        <f>PARAMETERS!$B$21*EFFICIENCY!H100</f>
        <v>20.219570686991556</v>
      </c>
      <c r="N100" s="13">
        <f t="shared" si="11"/>
        <v>1427.9795926839529</v>
      </c>
      <c r="O100" s="4">
        <f>PARAMETERS!$B$9*N100</f>
        <v>3.1269626117166855</v>
      </c>
      <c r="P100" s="4">
        <f>MAX(PARAMETERS!$B$6,PARAMETERS!$B$6+PARAMETERS!$B$10*(O100-PARAMETERS!$B$11))</f>
        <v>5.4404439175750281E-2</v>
      </c>
      <c r="Q100" s="4">
        <f t="shared" si="12"/>
        <v>1.5883142438164732</v>
      </c>
      <c r="S100" s="23">
        <v>1081.8074811245024</v>
      </c>
      <c r="T100" s="4">
        <f t="shared" si="14"/>
        <v>8.6411345669691123E-2</v>
      </c>
      <c r="U100" s="148">
        <f t="shared" si="13"/>
        <v>5335.4602041493654</v>
      </c>
    </row>
    <row r="101" spans="1:27" ht="20.149999999999999" customHeight="1" x14ac:dyDescent="0.35">
      <c r="A101" s="1">
        <f t="shared" si="7"/>
        <v>2075</v>
      </c>
      <c r="C101" s="13">
        <f>C100+PARAMETERS!$B$5*PARAMETERS!$B$25*K100-P100*C100</f>
        <v>2034.3774032239285</v>
      </c>
      <c r="D101" s="4">
        <f>PARAMETERS!$B$19*C101^PARAMETERS!$B$20</f>
        <v>0.34932704246737084</v>
      </c>
      <c r="E101" s="4">
        <f t="shared" si="8"/>
        <v>6.714141647080246E-3</v>
      </c>
      <c r="G101" s="141">
        <f>G100+PARAMETERS!$B$5*(1-PARAMETERS!$B$25)*K100-P100*G100</f>
        <v>3379.6455175802616</v>
      </c>
      <c r="H101" s="141">
        <f>PARAMETERS!$B$22*G101^(1-PARAMETERS!$B$20)</f>
        <v>1131.2017774879725</v>
      </c>
      <c r="I101" s="141">
        <f t="shared" si="9"/>
        <v>8.0339649300887502E-3</v>
      </c>
      <c r="K101" s="141">
        <f>PARAMETERS!$B$18*D101*H101</f>
        <v>467.86869569462829</v>
      </c>
      <c r="L101" s="141">
        <f t="shared" si="10"/>
        <v>1.4802047755697165E-2</v>
      </c>
      <c r="M101" s="28">
        <f>PARAMETERS!$B$21*EFFICIENCY!H101</f>
        <v>20.382014008792297</v>
      </c>
      <c r="N101" s="13">
        <f t="shared" si="11"/>
        <v>1448.1991633709445</v>
      </c>
      <c r="O101" s="4">
        <f>PARAMETERS!$B$9*N101</f>
        <v>3.1712390438779807</v>
      </c>
      <c r="P101" s="4">
        <f>MAX(PARAMETERS!$B$6,PARAMETERS!$B$6+PARAMETERS!$B$10*(O101-PARAMETERS!$B$11))</f>
        <v>5.5068585658169709E-2</v>
      </c>
      <c r="Q101" s="4">
        <f t="shared" si="12"/>
        <v>1.5692783227942255</v>
      </c>
      <c r="S101" s="23">
        <v>1087.9815709245606</v>
      </c>
      <c r="T101" s="4">
        <f t="shared" si="14"/>
        <v>8.6417937740302708E-2</v>
      </c>
      <c r="U101" s="148">
        <f t="shared" si="13"/>
        <v>5414.0229208041901</v>
      </c>
    </row>
    <row r="102" spans="1:27" ht="20.149999999999999" customHeight="1" x14ac:dyDescent="0.35">
      <c r="A102" s="1">
        <f t="shared" si="7"/>
        <v>2076</v>
      </c>
      <c r="C102" s="13">
        <f>C101+PARAMETERS!$B$5*PARAMETERS!$B$25*K101-P101*C101</f>
        <v>2064.5792004246136</v>
      </c>
      <c r="D102" s="4">
        <f>PARAMETERS!$B$19*C102^PARAMETERS!$B$20</f>
        <v>0.35156493401623601</v>
      </c>
      <c r="E102" s="4">
        <f t="shared" si="8"/>
        <v>6.4062934637366337E-3</v>
      </c>
      <c r="G102" s="141">
        <f>G101+PARAMETERS!$B$5*(1-PARAMETERS!$B$25)*K101-P101*G101</f>
        <v>3425.5960919656795</v>
      </c>
      <c r="H102" s="141">
        <f>PARAMETERS!$B$22*G102^(1-PARAMETERS!$B$20)</f>
        <v>1139.8916728715039</v>
      </c>
      <c r="I102" s="141">
        <f t="shared" si="9"/>
        <v>7.682002942771886E-3</v>
      </c>
      <c r="K102" s="141">
        <f>PARAMETERS!$B$18*D102*H102</f>
        <v>474.48319385833292</v>
      </c>
      <c r="L102" s="141">
        <f t="shared" si="10"/>
        <v>1.4137509571749238E-2</v>
      </c>
      <c r="M102" s="28">
        <f>PARAMETERS!$B$21*EFFICIENCY!H102</f>
        <v>20.538588700387457</v>
      </c>
      <c r="N102" s="13">
        <f t="shared" si="11"/>
        <v>1468.5811773797368</v>
      </c>
      <c r="O102" s="4">
        <f>PARAMETERS!$B$9*N102</f>
        <v>3.2158711913424898</v>
      </c>
      <c r="P102" s="4">
        <f>MAX(PARAMETERS!$B$6,PARAMETERS!$B$6+PARAMETERS!$B$10*(O102-PARAMETERS!$B$11))</f>
        <v>5.5738067870137339E-2</v>
      </c>
      <c r="Q102" s="4">
        <f t="shared" si="12"/>
        <v>1.5505390678582682</v>
      </c>
      <c r="S102" s="23">
        <v>1093.8815778842438</v>
      </c>
      <c r="T102" s="4">
        <f t="shared" si="14"/>
        <v>8.6424051799583637E-2</v>
      </c>
      <c r="U102" s="148">
        <f t="shared" si="13"/>
        <v>5490.1752923902932</v>
      </c>
    </row>
    <row r="103" spans="1:27" ht="20.149999999999999" customHeight="1" x14ac:dyDescent="0.35">
      <c r="A103" s="1">
        <f t="shared" si="7"/>
        <v>2077</v>
      </c>
      <c r="C103" s="13">
        <f>C102+PARAMETERS!$B$5*PARAMETERS!$B$25*K102-P102*C102</f>
        <v>2093.7464357610061</v>
      </c>
      <c r="D103" s="4">
        <f>PARAMETERS!$B$19*C103^PARAMETERS!$B$20</f>
        <v>0.35370862536419295</v>
      </c>
      <c r="E103" s="4">
        <f t="shared" si="8"/>
        <v>6.0975687292463129E-3</v>
      </c>
      <c r="G103" s="141">
        <f>G102+PARAMETERS!$B$5*(1-PARAMETERS!$B$25)*K102-P102*G102</f>
        <v>3470.0036486497524</v>
      </c>
      <c r="H103" s="141">
        <f>PARAMETERS!$B$22*G103^(1-PARAMETERS!$B$20)</f>
        <v>1148.2418934712402</v>
      </c>
      <c r="I103" s="141">
        <f t="shared" si="9"/>
        <v>7.3254510042180081E-3</v>
      </c>
      <c r="K103" s="141">
        <f>PARAMETERS!$B$18*D103*H103</f>
        <v>480.87338508274388</v>
      </c>
      <c r="L103" s="141">
        <f t="shared" si="10"/>
        <v>1.3467687174435273E-2</v>
      </c>
      <c r="M103" s="28">
        <f>PARAMETERS!$B$21*EFFICIENCY!H103</f>
        <v>20.689043125607931</v>
      </c>
      <c r="N103" s="13">
        <f t="shared" si="11"/>
        <v>1489.1197660801242</v>
      </c>
      <c r="O103" s="4">
        <f>PARAMETERS!$B$9*N103</f>
        <v>3.2608462030951628</v>
      </c>
      <c r="P103" s="4">
        <f>MAX(PARAMETERS!$B$6,PARAMETERS!$B$6+PARAMETERS!$B$10*(O103-PARAMETERS!$B$11))</f>
        <v>5.6412693046427445E-2</v>
      </c>
      <c r="Q103" s="4">
        <f t="shared" si="12"/>
        <v>1.5320971130986591</v>
      </c>
      <c r="S103" s="23">
        <v>1099.5007401822652</v>
      </c>
      <c r="T103" s="4">
        <f t="shared" si="14"/>
        <v>8.6429724158552296E-2</v>
      </c>
      <c r="U103" s="148">
        <f t="shared" si="13"/>
        <v>5563.7500844107581</v>
      </c>
    </row>
    <row r="104" spans="1:27" ht="20.149999999999999" customHeight="1" x14ac:dyDescent="0.35">
      <c r="A104" s="1">
        <f t="shared" si="7"/>
        <v>2078</v>
      </c>
      <c r="C104" s="13">
        <f>C103+PARAMETERS!$B$5*PARAMETERS!$B$25*K103-P103*C103</f>
        <v>2121.8180698285232</v>
      </c>
      <c r="D104" s="4">
        <f>PARAMETERS!$B$19*C104^PARAMETERS!$B$20</f>
        <v>0.35575587090234723</v>
      </c>
      <c r="E104" s="4">
        <f t="shared" si="8"/>
        <v>5.7879434974093327E-3</v>
      </c>
      <c r="G104" s="141">
        <f>G103+PARAMETERS!$B$5*(1-PARAMETERS!$B$25)*K103-P103*G103</f>
        <v>3512.7645969495316</v>
      </c>
      <c r="H104" s="141">
        <f>PARAMETERS!$B$22*G104^(1-PARAMETERS!$B$20)</f>
        <v>1156.2388389154112</v>
      </c>
      <c r="I104" s="141">
        <f t="shared" si="9"/>
        <v>6.9645128693183594E-3</v>
      </c>
      <c r="K104" s="141">
        <f>PARAMETERS!$B$18*D104*H104</f>
        <v>487.02508604961349</v>
      </c>
      <c r="L104" s="141">
        <f t="shared" si="10"/>
        <v>1.2792766573702324E-2</v>
      </c>
      <c r="M104" s="28">
        <f>PARAMETERS!$B$21*EFFICIENCY!H104</f>
        <v>20.83313223271011</v>
      </c>
      <c r="N104" s="13">
        <f t="shared" si="11"/>
        <v>1509.8088092057321</v>
      </c>
      <c r="O104" s="4">
        <f>PARAMETERS!$B$9*N104</f>
        <v>3.3061506770928442</v>
      </c>
      <c r="P104" s="4">
        <f>MAX(PARAMETERS!$B$6,PARAMETERS!$B$6+PARAMETERS!$B$10*(O104-PARAMETERS!$B$11))</f>
        <v>5.7092260156392662E-2</v>
      </c>
      <c r="Q104" s="4">
        <f t="shared" si="12"/>
        <v>1.5139528180553647</v>
      </c>
      <c r="S104" s="23">
        <v>1104.8325465725525</v>
      </c>
      <c r="T104" s="4">
        <f t="shared" si="14"/>
        <v>8.6434988152920694E-2</v>
      </c>
      <c r="U104" s="148">
        <f t="shared" si="13"/>
        <v>5634.5826667780548</v>
      </c>
    </row>
    <row r="105" spans="1:27" ht="20.149999999999999" customHeight="1" x14ac:dyDescent="0.35">
      <c r="A105" s="1">
        <f t="shared" si="7"/>
        <v>2079</v>
      </c>
      <c r="C105" s="13">
        <f>C104+PARAMETERS!$B$5*PARAMETERS!$B$25*K104-P104*C104</f>
        <v>2148.7343067404208</v>
      </c>
      <c r="D105" s="4">
        <f>PARAMETERS!$B$19*C105^PARAMETERS!$B$20</f>
        <v>0.35770448978712577</v>
      </c>
      <c r="E105" s="4">
        <f t="shared" si="8"/>
        <v>5.4774047153066524E-3</v>
      </c>
      <c r="G105" s="141">
        <f>G104+PARAMETERS!$B$5*(1-PARAMETERS!$B$25)*K104-P104*G104</f>
        <v>3553.7773693929316</v>
      </c>
      <c r="H105" s="141">
        <f>PARAMETERS!$B$22*G105^(1-PARAMETERS!$B$20)</f>
        <v>1163.8693107326121</v>
      </c>
      <c r="I105" s="141">
        <f t="shared" si="9"/>
        <v>6.599390679834425E-3</v>
      </c>
      <c r="K105" s="141">
        <f>PARAMETERS!$B$18*D105*H105</f>
        <v>492.92439312181125</v>
      </c>
      <c r="L105" s="141">
        <f t="shared" si="10"/>
        <v>1.2112942928768954E-2</v>
      </c>
      <c r="M105" s="28">
        <f>PARAMETERS!$B$21*EFFICIENCY!H105</f>
        <v>20.970618211398417</v>
      </c>
      <c r="N105" s="13">
        <f t="shared" si="11"/>
        <v>1530.6419414384422</v>
      </c>
      <c r="O105" s="4">
        <f>PARAMETERS!$B$9*N105</f>
        <v>3.3517706746827205</v>
      </c>
      <c r="P105" s="4">
        <f>MAX(PARAMETERS!$B$6,PARAMETERS!$B$6+PARAMETERS!$B$10*(O105-PARAMETERS!$B$11))</f>
        <v>5.7776560120240808E-2</v>
      </c>
      <c r="Q105" s="4">
        <f t="shared" si="12"/>
        <v>1.4961062796536779</v>
      </c>
      <c r="S105" s="23">
        <v>1109.8707516636291</v>
      </c>
      <c r="T105" s="4">
        <f t="shared" si="14"/>
        <v>8.6439874412680529E-2</v>
      </c>
      <c r="U105" s="148">
        <f t="shared" si="13"/>
        <v>5702.511676133352</v>
      </c>
    </row>
    <row r="106" spans="1:27" ht="20.149999999999999" customHeight="1" x14ac:dyDescent="0.35">
      <c r="A106" s="1">
        <f t="shared" si="7"/>
        <v>2080</v>
      </c>
      <c r="C106" s="13">
        <f>C105+PARAMETERS!$B$5*PARAMETERS!$B$25*K105-P105*C105</f>
        <v>2174.4368453936399</v>
      </c>
      <c r="D106" s="4">
        <f>PARAMETERS!$B$19*C106^PARAMETERS!$B$20</f>
        <v>0.35955237315994593</v>
      </c>
      <c r="E106" s="4">
        <f t="shared" si="8"/>
        <v>5.1659496192509513E-3</v>
      </c>
      <c r="G106" s="141">
        <f>G105+PARAMETERS!$B$5*(1-PARAMETERS!$B$25)*K105-P105*G105</f>
        <v>3592.9428365446684</v>
      </c>
      <c r="H106" s="141">
        <f>PARAMETERS!$B$22*G106^(1-PARAMETERS!$B$20)</f>
        <v>1171.1205485407349</v>
      </c>
      <c r="I106" s="141">
        <f t="shared" si="9"/>
        <v>6.2302852573356722E-3</v>
      </c>
      <c r="K106" s="141">
        <f>PARAMETERS!$B$18*D106*H106</f>
        <v>498.55774022129151</v>
      </c>
      <c r="L106" s="141">
        <f t="shared" si="10"/>
        <v>1.1428420216339651E-2</v>
      </c>
      <c r="M106" s="28">
        <f>PARAMETERS!$B$21*EFFICIENCY!H106</f>
        <v>21.101271144878108</v>
      </c>
      <c r="N106" s="13">
        <f t="shared" si="11"/>
        <v>1551.6125596498407</v>
      </c>
      <c r="O106" s="4">
        <f>PARAMETERS!$B$9*N106</f>
        <v>3.3976917364595054</v>
      </c>
      <c r="P106" s="4">
        <f>MAX(PARAMETERS!$B$6,PARAMETERS!$B$6+PARAMETERS!$B$10*(O106-PARAMETERS!$B$11))</f>
        <v>5.846537604689258E-2</v>
      </c>
      <c r="Q106" s="4">
        <f t="shared" si="12"/>
        <v>1.4785573436691797</v>
      </c>
      <c r="S106" s="23">
        <v>1114.6093907804191</v>
      </c>
      <c r="T106" s="4">
        <f t="shared" si="14"/>
        <v>8.6444411104513175E-2</v>
      </c>
      <c r="U106" s="148">
        <f t="shared" si="13"/>
        <v>5767.3796819383078</v>
      </c>
    </row>
    <row r="107" spans="1:27" s="6" customFormat="1" ht="20.149999999999999" customHeight="1" x14ac:dyDescent="0.35">
      <c r="A107" s="1">
        <f t="shared" si="7"/>
        <v>2081</v>
      </c>
      <c r="B107" s="39"/>
      <c r="C107" s="13">
        <f>C106+PARAMETERS!$B$5*PARAMETERS!$B$25*K106-P106*C106</f>
        <v>2198.8691305647544</v>
      </c>
      <c r="D107" s="4">
        <f>PARAMETERS!$B$19*C107^PARAMETERS!$B$20</f>
        <v>0.36129749122296712</v>
      </c>
      <c r="E107" s="4">
        <f t="shared" si="8"/>
        <v>4.8535851611383419E-3</v>
      </c>
      <c r="F107" s="137"/>
      <c r="G107" s="141">
        <f>G106+PARAMETERS!$B$5*(1-PARAMETERS!$B$25)*K106-P106*G106</f>
        <v>3630.164721640856</v>
      </c>
      <c r="H107" s="141">
        <f>PARAMETERS!$B$22*G107^(1-PARAMETERS!$B$20)</f>
        <v>1177.9802657778853</v>
      </c>
      <c r="I107" s="141">
        <f t="shared" si="9"/>
        <v>5.8573963591517786E-3</v>
      </c>
      <c r="J107" s="47"/>
      <c r="K107" s="141">
        <f>PARAMETERS!$B$18*D107*H107</f>
        <v>503.91195664708533</v>
      </c>
      <c r="L107" s="141">
        <f t="shared" si="10"/>
        <v>1.0739410892341742E-2</v>
      </c>
      <c r="M107" s="28">
        <f>PARAMETERS!$B$21*EFFICIENCY!H107</f>
        <v>21.224869653655592</v>
      </c>
      <c r="N107" s="13">
        <f t="shared" si="11"/>
        <v>1572.7138307947189</v>
      </c>
      <c r="O107" s="4">
        <f>PARAMETERS!$B$9*N107</f>
        <v>3.4438988995504798</v>
      </c>
      <c r="P107" s="4">
        <f>MAX(PARAMETERS!$B$6,PARAMETERS!$B$6+PARAMETERS!$B$10*(O107-PARAMETERS!$B$11))</f>
        <v>5.9158483493257197E-2</v>
      </c>
      <c r="Q107" s="4">
        <f t="shared" si="12"/>
        <v>1.4613056157850397</v>
      </c>
      <c r="R107" s="53"/>
      <c r="S107" s="23">
        <v>1119.0427943505097</v>
      </c>
      <c r="T107" s="4">
        <f t="shared" si="14"/>
        <v>8.6448624150023315E-2</v>
      </c>
      <c r="U107" s="148">
        <f t="shared" si="13"/>
        <v>5829.0338522056099</v>
      </c>
      <c r="V107" s="1"/>
      <c r="W107" s="1"/>
      <c r="X107" s="1"/>
      <c r="AA107" s="1"/>
    </row>
    <row r="108" spans="1:27" ht="20.149999999999999" customHeight="1" x14ac:dyDescent="0.35">
      <c r="A108" s="1">
        <f t="shared" si="7"/>
        <v>2082</v>
      </c>
      <c r="C108" s="13">
        <f>C107+PARAMETERS!$B$5*PARAMETERS!$B$25*K107-P107*C107</f>
        <v>2221.9766022211206</v>
      </c>
      <c r="D108" s="4">
        <f>PARAMETERS!$B$19*C108^PARAMETERS!$B$20</f>
        <v>0.36293790014427335</v>
      </c>
      <c r="E108" s="4">
        <f t="shared" si="8"/>
        <v>4.5403274618751556E-3</v>
      </c>
      <c r="G108" s="141">
        <f>G107+PARAMETERS!$B$5*(1-PARAMETERS!$B$25)*K107-P107*G107</f>
        <v>3665.3500123748149</v>
      </c>
      <c r="H108" s="141">
        <f>PARAMETERS!$B$22*G108^(1-PARAMETERS!$B$20)</f>
        <v>1184.436684790853</v>
      </c>
      <c r="I108" s="141">
        <f t="shared" si="9"/>
        <v>5.4809228987415526E-3</v>
      </c>
      <c r="K108" s="141">
        <f>PARAMETERS!$B$18*D108*H108</f>
        <v>508.97432446649469</v>
      </c>
      <c r="L108" s="141">
        <f t="shared" si="10"/>
        <v>1.0046135545370257E-2</v>
      </c>
      <c r="M108" s="28">
        <f>PARAMETERS!$B$21*EFFICIENCY!H108</f>
        <v>21.341201527763115</v>
      </c>
      <c r="N108" s="13">
        <f t="shared" si="11"/>
        <v>1593.9387004483744</v>
      </c>
      <c r="O108" s="4">
        <f>PARAMETERS!$B$9*N108</f>
        <v>3.4903767163103092</v>
      </c>
      <c r="P108" s="4">
        <f>MAX(PARAMETERS!$B$6,PARAMETERS!$B$6+PARAMETERS!$B$10*(O108-PARAMETERS!$B$11))</f>
        <v>5.985565074465464E-2</v>
      </c>
      <c r="Q108" s="4">
        <f t="shared" si="12"/>
        <v>1.4443504722929226</v>
      </c>
      <c r="S108" s="23">
        <v>1123.1656017578489</v>
      </c>
      <c r="T108" s="4">
        <f t="shared" si="14"/>
        <v>8.6452537422442147E-2</v>
      </c>
      <c r="U108" s="148">
        <f t="shared" si="13"/>
        <v>5887.3266145959351</v>
      </c>
    </row>
    <row r="109" spans="1:27" ht="20.149999999999999" customHeight="1" x14ac:dyDescent="0.35">
      <c r="A109" s="1">
        <f t="shared" si="7"/>
        <v>2083</v>
      </c>
      <c r="C109" s="13">
        <f>C108+PARAMETERS!$B$5*PARAMETERS!$B$25*K108-P108*C108</f>
        <v>2243.7069413935933</v>
      </c>
      <c r="D109" s="4">
        <f>PARAMETERS!$B$19*C109^PARAMETERS!$B$20</f>
        <v>0.36447174876565941</v>
      </c>
      <c r="E109" s="4">
        <f t="shared" si="8"/>
        <v>4.2262012889156238E-3</v>
      </c>
      <c r="G109" s="141">
        <f>G108+PARAMETERS!$B$5*(1-PARAMETERS!$B$25)*K108-P108*G108</f>
        <v>3698.4093671125738</v>
      </c>
      <c r="H109" s="141">
        <f>PARAMETERS!$B$22*G109^(1-PARAMETERS!$B$20)</f>
        <v>1190.4785710956855</v>
      </c>
      <c r="I109" s="141">
        <f t="shared" si="9"/>
        <v>5.1010631318798268E-3</v>
      </c>
      <c r="K109" s="141">
        <f>PARAMETERS!$B$18*D109*H109</f>
        <v>513.73263510354082</v>
      </c>
      <c r="L109" s="141">
        <f t="shared" si="10"/>
        <v>9.3488225403781794E-3</v>
      </c>
      <c r="M109" s="28">
        <f>PARAMETERS!$B$21*EFFICIENCY!H109</f>
        <v>21.450064344066405</v>
      </c>
      <c r="N109" s="13">
        <f t="shared" si="11"/>
        <v>1615.2799019761376</v>
      </c>
      <c r="O109" s="4">
        <f>PARAMETERS!$B$9*N109</f>
        <v>3.5371092744003017</v>
      </c>
      <c r="P109" s="4">
        <f>MAX(PARAMETERS!$B$6,PARAMETERS!$B$6+PARAMETERS!$B$10*(O109-PARAMETERS!$B$11))</f>
        <v>6.0556639116004521E-2</v>
      </c>
      <c r="Q109" s="4">
        <f t="shared" si="12"/>
        <v>1.4276910704789592</v>
      </c>
      <c r="S109" s="23">
        <v>1126.9727746080166</v>
      </c>
      <c r="T109" s="4">
        <f t="shared" si="14"/>
        <v>8.6456172924136501E-2</v>
      </c>
      <c r="U109" s="148">
        <f t="shared" si="13"/>
        <v>5942.1163085061671</v>
      </c>
      <c r="W109" s="6"/>
      <c r="X109" s="6"/>
    </row>
    <row r="110" spans="1:27" ht="20.149999999999999" customHeight="1" x14ac:dyDescent="0.35">
      <c r="A110" s="1">
        <f t="shared" ref="A110:A126" si="15">A109+1</f>
        <v>2084</v>
      </c>
      <c r="C110" s="13">
        <f>C109+PARAMETERS!$B$5*PARAMETERS!$B$25*K109-P109*C109</f>
        <v>2264.0103109330239</v>
      </c>
      <c r="D110" s="4">
        <f>PARAMETERS!$B$19*C110^PARAMETERS!$B$20</f>
        <v>0.36589728508621167</v>
      </c>
      <c r="E110" s="4">
        <f t="shared" si="8"/>
        <v>3.9112395552743338E-3</v>
      </c>
      <c r="G110" s="141">
        <f>G109+PARAMETERS!$B$5*(1-PARAMETERS!$B$25)*K109-P109*G109</f>
        <v>3729.257512776443</v>
      </c>
      <c r="H110" s="141">
        <f>PARAMETERS!$B$22*G110^(1-PARAMETERS!$B$20)</f>
        <v>1196.095266625224</v>
      </c>
      <c r="I110" s="141">
        <f t="shared" si="9"/>
        <v>4.718014810101946E-3</v>
      </c>
      <c r="K110" s="141">
        <f>PARAMETERS!$B$18*D110*H110</f>
        <v>518.17524474296329</v>
      </c>
      <c r="L110" s="141">
        <f t="shared" si="10"/>
        <v>8.6477076515239885E-3</v>
      </c>
      <c r="M110" s="28">
        <f>PARAMETERS!$B$21*EFFICIENCY!H110</f>
        <v>21.55126606531935</v>
      </c>
      <c r="N110" s="13">
        <f t="shared" si="11"/>
        <v>1636.7299663202041</v>
      </c>
      <c r="O110" s="4">
        <f>PARAMETERS!$B$9*N110</f>
        <v>3.5840802182194254</v>
      </c>
      <c r="P110" s="4">
        <f>MAX(PARAMETERS!$B$6,PARAMETERS!$B$6+PARAMETERS!$B$10*(O110-PARAMETERS!$B$11))</f>
        <v>6.1261203273291376E-2</v>
      </c>
      <c r="Q110" s="4">
        <f t="shared" si="12"/>
        <v>1.4113263587279941</v>
      </c>
      <c r="S110" s="23">
        <v>1130.459609350715</v>
      </c>
      <c r="T110" s="4">
        <f t="shared" si="14"/>
        <v>8.6459550946989788E-2</v>
      </c>
      <c r="U110" s="148">
        <f t="shared" si="13"/>
        <v>5993.2678237094669</v>
      </c>
    </row>
    <row r="111" spans="1:27" ht="20.149999999999999" customHeight="1" x14ac:dyDescent="0.35">
      <c r="A111" s="1">
        <f t="shared" si="15"/>
        <v>2085</v>
      </c>
      <c r="C111" s="13">
        <f>C110+PARAMETERS!$B$5*PARAMETERS!$B$25*K110-P110*C110</f>
        <v>2282.8395894639889</v>
      </c>
      <c r="D111" s="4">
        <f>PARAMETERS!$B$19*C111^PARAMETERS!$B$20</f>
        <v>0.36721286249509322</v>
      </c>
      <c r="E111" s="4">
        <f t="shared" ref="E111:E126" si="16">(D111-D110)/D110</f>
        <v>3.5954828376810158E-3</v>
      </c>
      <c r="G111" s="141">
        <f>G110+PARAMETERS!$B$5*(1-PARAMETERS!$B$25)*K110-P110*G110</f>
        <v>3757.8136316203058</v>
      </c>
      <c r="H111" s="141">
        <f>PARAMETERS!$B$22*G111^(1-PARAMETERS!$B$20)</f>
        <v>1201.2767217800324</v>
      </c>
      <c r="I111" s="141">
        <f t="shared" ref="I111:I126" si="17">(H111-H110)/H110</f>
        <v>4.3319753027932836E-3</v>
      </c>
      <c r="K111" s="141">
        <f>PARAMETERS!$B$18*D111*H111</f>
        <v>522.29112816582381</v>
      </c>
      <c r="L111" s="141">
        <f t="shared" ref="L111:L126" si="18">(K111-K110)/K110</f>
        <v>7.9430336833288349E-3</v>
      </c>
      <c r="M111" s="28">
        <f>PARAMETERS!$B$21*EFFICIENCY!H111</f>
        <v>21.644625617658242</v>
      </c>
      <c r="N111" s="13">
        <f t="shared" ref="N111:N126" si="19">N110+M110</f>
        <v>1658.2812323855235</v>
      </c>
      <c r="O111" s="4">
        <f>PARAMETERS!$B$9*N111</f>
        <v>3.631272771647132</v>
      </c>
      <c r="P111" s="4">
        <f>MAX(PARAMETERS!$B$6,PARAMETERS!$B$6+PARAMETERS!$B$10*(O111-PARAMETERS!$B$11))</f>
        <v>6.196909157470698E-2</v>
      </c>
      <c r="Q111" s="4">
        <f t="shared" ref="Q111:Q126" si="20">K111/(C111+G111)/P111</f>
        <v>1.3952550863722606</v>
      </c>
      <c r="S111" s="23">
        <v>1133.6217492070305</v>
      </c>
      <c r="T111" s="4">
        <f t="shared" si="14"/>
        <v>8.6462690217478308E-2</v>
      </c>
      <c r="U111" s="148">
        <f t="shared" si="13"/>
        <v>6040.6532210842943</v>
      </c>
      <c r="Y111" s="6"/>
    </row>
    <row r="112" spans="1:27" ht="20.149999999999999" customHeight="1" x14ac:dyDescent="0.35">
      <c r="A112" s="1">
        <f t="shared" si="15"/>
        <v>2086</v>
      </c>
      <c r="C112" s="13">
        <f>C111+PARAMETERS!$B$5*PARAMETERS!$B$25*K111-P111*C111</f>
        <v>2300.1505968565389</v>
      </c>
      <c r="D112" s="4">
        <f>PARAMETERS!$B$19*C112^PARAMETERS!$B$20</f>
        <v>0.36841694572736688</v>
      </c>
      <c r="E112" s="4">
        <f t="shared" si="16"/>
        <v>3.278978911828712E-3</v>
      </c>
      <c r="G112" s="141">
        <f>G111+PARAMETERS!$B$5*(1-PARAMETERS!$B$25)*K111-P111*G111</f>
        <v>3784.0017341319935</v>
      </c>
      <c r="H112" s="141">
        <f>PARAMETERS!$B$22*G112^(1-PARAMETERS!$B$20)</f>
        <v>1206.013526102219</v>
      </c>
      <c r="I112" s="141">
        <f t="shared" si="17"/>
        <v>3.9431416894249414E-3</v>
      </c>
      <c r="K112" s="141">
        <f>PARAMETERS!$B$18*D112*H112</f>
        <v>526.06993063428627</v>
      </c>
      <c r="L112" s="141">
        <f t="shared" si="18"/>
        <v>7.2350500796994491E-3</v>
      </c>
      <c r="M112" s="28">
        <f>PARAMETERS!$B$21*EFFICIENCY!H112</f>
        <v>21.729973443283225</v>
      </c>
      <c r="N112" s="13">
        <f t="shared" si="19"/>
        <v>1679.9258580031817</v>
      </c>
      <c r="O112" s="4">
        <f>PARAMETERS!$B$9*N112</f>
        <v>3.6786697620507631</v>
      </c>
      <c r="P112" s="4">
        <f>MAX(PARAMETERS!$B$6,PARAMETERS!$B$6+PARAMETERS!$B$10*(O112-PARAMETERS!$B$11))</f>
        <v>6.2680046430761444E-2</v>
      </c>
      <c r="Q112" s="4">
        <f t="shared" si="20"/>
        <v>1.379475813304907</v>
      </c>
      <c r="S112" s="23">
        <v>1136.4551953511034</v>
      </c>
      <c r="T112" s="4">
        <f t="shared" si="14"/>
        <v>8.6465608028063981E-2</v>
      </c>
      <c r="U112" s="148">
        <f t="shared" si="13"/>
        <v>6084.1523309885324</v>
      </c>
    </row>
    <row r="113" spans="1:27" ht="20.149999999999999" customHeight="1" x14ac:dyDescent="0.35">
      <c r="A113" s="1">
        <f t="shared" si="15"/>
        <v>2087</v>
      </c>
      <c r="C113" s="13">
        <f>C112+PARAMETERS!$B$5*PARAMETERS!$B$25*K112-P112*C112</f>
        <v>2315.9023095606508</v>
      </c>
      <c r="D113" s="4">
        <f>PARAMETERS!$B$19*C113^PARAMETERS!$B$20</f>
        <v>0.36950811651731069</v>
      </c>
      <c r="E113" s="4">
        <f t="shared" si="16"/>
        <v>2.9617823029000601E-3</v>
      </c>
      <c r="G113" s="141">
        <f>G112+PARAMETERS!$B$5*(1-PARAMETERS!$B$25)*K112-P112*G112</f>
        <v>3807.7510153371245</v>
      </c>
      <c r="H113" s="141">
        <f>PARAMETERS!$B$22*G113^(1-PARAMETERS!$B$20)</f>
        <v>1210.2969373958742</v>
      </c>
      <c r="I113" s="141">
        <f t="shared" si="17"/>
        <v>3.5517108232600457E-3</v>
      </c>
      <c r="K113" s="141">
        <f>PARAMETERS!$B$18*D113*H113</f>
        <v>529.5020174483617</v>
      </c>
      <c r="L113" s="141">
        <f t="shared" si="18"/>
        <v>6.5240125204216503E-3</v>
      </c>
      <c r="M113" s="28">
        <f>PARAMETERS!$B$21*EFFICIENCY!H113</f>
        <v>21.807152025150888</v>
      </c>
      <c r="N113" s="13">
        <f t="shared" si="19"/>
        <v>1701.6558314464648</v>
      </c>
      <c r="O113" s="4">
        <f>PARAMETERS!$B$9*N113</f>
        <v>3.726253645503208</v>
      </c>
      <c r="P113" s="4">
        <f>MAX(PARAMETERS!$B$6,PARAMETERS!$B$6+PARAMETERS!$B$10*(O113-PARAMETERS!$B$11))</f>
        <v>6.3393804682548127E-2</v>
      </c>
      <c r="Q113" s="4">
        <f t="shared" si="20"/>
        <v>1.3639869193737379</v>
      </c>
      <c r="S113" s="23">
        <v>1138.9563172984244</v>
      </c>
      <c r="T113" s="4">
        <f t="shared" si="14"/>
        <v>8.6468320356329259E-2</v>
      </c>
      <c r="U113" s="148">
        <f t="shared" si="13"/>
        <v>6123.6533248977757</v>
      </c>
    </row>
    <row r="114" spans="1:27" ht="20.149999999999999" customHeight="1" x14ac:dyDescent="0.35">
      <c r="A114" s="1">
        <f t="shared" si="15"/>
        <v>2088</v>
      </c>
      <c r="C114" s="13">
        <f>C113+PARAMETERS!$B$5*PARAMETERS!$B$25*K113-P113*C113</f>
        <v>2330.0570641888025</v>
      </c>
      <c r="D114" s="4">
        <f>PARAMETERS!$B$19*C114^PARAMETERS!$B$20</f>
        <v>0.37048507892451199</v>
      </c>
      <c r="E114" s="4">
        <f t="shared" si="16"/>
        <v>2.6439538498081398E-3</v>
      </c>
      <c r="G114" s="141">
        <f>G113+PARAMETERS!$B$5*(1-PARAMETERS!$B$25)*K113-P113*G113</f>
        <v>3828.9961918454555</v>
      </c>
      <c r="H114" s="141">
        <f>PARAMETERS!$B$22*G114^(1-PARAMETERS!$B$20)</f>
        <v>1214.1189091237618</v>
      </c>
      <c r="I114" s="141">
        <f t="shared" si="17"/>
        <v>3.157879368108683E-3</v>
      </c>
      <c r="K114" s="141">
        <f>PARAMETERS!$B$18*D114*H114</f>
        <v>532.57852080662383</v>
      </c>
      <c r="L114" s="141">
        <f t="shared" si="18"/>
        <v>5.8101825052293745E-3</v>
      </c>
      <c r="M114" s="28">
        <f>PARAMETERS!$B$21*EFFICIENCY!H114</f>
        <v>21.87601638060832</v>
      </c>
      <c r="N114" s="13">
        <f t="shared" si="19"/>
        <v>1723.4629834716156</v>
      </c>
      <c r="O114" s="4">
        <f>PARAMETERS!$B$9*N114</f>
        <v>3.7740065331495236</v>
      </c>
      <c r="P114" s="4">
        <f>MAX(PARAMETERS!$B$6,PARAMETERS!$B$6+PARAMETERS!$B$10*(O114-PARAMETERS!$B$11))</f>
        <v>6.4110097997242849E-2</v>
      </c>
      <c r="Q114" s="4">
        <f t="shared" si="20"/>
        <v>1.3487866135666768</v>
      </c>
      <c r="S114" s="23">
        <v>1141.1218624556877</v>
      </c>
      <c r="T114" s="4">
        <f t="shared" si="14"/>
        <v>8.6470841973128973E-2</v>
      </c>
      <c r="U114" s="148">
        <f t="shared" si="13"/>
        <v>6159.0532560342581</v>
      </c>
    </row>
    <row r="115" spans="1:27" ht="20.149999999999999" customHeight="1" x14ac:dyDescent="0.35">
      <c r="A115" s="1">
        <f t="shared" si="15"/>
        <v>2089</v>
      </c>
      <c r="C115" s="13">
        <f>C114+PARAMETERS!$B$5*PARAMETERS!$B$25*K114-P114*C114</f>
        <v>2342.5807477897042</v>
      </c>
      <c r="D115" s="4">
        <f>PARAMETERS!$B$19*C115^PARAMETERS!$B$20</f>
        <v>0.37134666430905522</v>
      </c>
      <c r="E115" s="4">
        <f t="shared" si="16"/>
        <v>2.3255602817914851E-3</v>
      </c>
      <c r="G115" s="141">
        <f>G114+PARAMETERS!$B$5*(1-PARAMETERS!$B$25)*K114-P114*G114</f>
        <v>3847.6778170752591</v>
      </c>
      <c r="H115" s="141">
        <f>PARAMETERS!$B$22*G115^(1-PARAMETERS!$B$20)</f>
        <v>1217.4721159168671</v>
      </c>
      <c r="I115" s="141">
        <f t="shared" si="17"/>
        <v>2.7618438094546552E-3</v>
      </c>
      <c r="K115" s="141">
        <f>PARAMETERS!$B$18*D115*H115</f>
        <v>535.29138361585888</v>
      </c>
      <c r="L115" s="141">
        <f t="shared" si="18"/>
        <v>5.0938269255137178E-3</v>
      </c>
      <c r="M115" s="28">
        <f>PARAMETERS!$B$21*EFFICIENCY!H115</f>
        <v>21.936434521024633</v>
      </c>
      <c r="N115" s="13">
        <f t="shared" si="19"/>
        <v>1745.3389998522239</v>
      </c>
      <c r="O115" s="4">
        <f>PARAMETERS!$B$9*N115</f>
        <v>3.8219102186545051</v>
      </c>
      <c r="P115" s="4">
        <f>MAX(PARAMETERS!$B$6,PARAMETERS!$B$6+PARAMETERS!$B$10*(O115-PARAMETERS!$B$11))</f>
        <v>6.4828653279817572E-2</v>
      </c>
      <c r="Q115" s="4">
        <f t="shared" si="20"/>
        <v>1.33387294299699</v>
      </c>
      <c r="S115" s="23">
        <v>1142.9489647902631</v>
      </c>
      <c r="T115" s="4">
        <f t="shared" si="14"/>
        <v>8.6473186540881736E-2</v>
      </c>
      <c r="U115" s="148">
        <f t="shared" si="13"/>
        <v>6190.2585648649638</v>
      </c>
      <c r="Z115" s="6"/>
    </row>
    <row r="116" spans="1:27" s="6" customFormat="1" ht="20.149999999999999" customHeight="1" x14ac:dyDescent="0.35">
      <c r="A116" s="1">
        <f t="shared" si="15"/>
        <v>2090</v>
      </c>
      <c r="B116" s="39"/>
      <c r="C116" s="13">
        <f>C115+PARAMETERS!$B$5*PARAMETERS!$B$25*K115-P115*C115</f>
        <v>2353.442973330491</v>
      </c>
      <c r="D116" s="4">
        <f>PARAMETERS!$B$19*C116^PARAMETERS!$B$20</f>
        <v>0.37209183593333589</v>
      </c>
      <c r="E116" s="4">
        <f t="shared" si="16"/>
        <v>2.0066738061783117E-3</v>
      </c>
      <c r="F116" s="137"/>
      <c r="G116" s="141">
        <f>G115+PARAMETERS!$B$5*(1-PARAMETERS!$B$25)*K115-P115*G115</f>
        <v>3863.7425722131079</v>
      </c>
      <c r="H116" s="141">
        <f>PARAMETERS!$B$22*G116^(1-PARAMETERS!$B$20)</f>
        <v>1220.3499770420078</v>
      </c>
      <c r="I116" s="141">
        <f t="shared" si="17"/>
        <v>2.3638004415184777E-3</v>
      </c>
      <c r="J116" s="47"/>
      <c r="K116" s="141">
        <f>PARAMETERS!$B$18*D116*H116</f>
        <v>537.63339991149769</v>
      </c>
      <c r="L116" s="141">
        <f t="shared" si="18"/>
        <v>4.3752176241258446E-3</v>
      </c>
      <c r="M116" s="28">
        <f>PARAMETERS!$B$21*EFFICIENCY!H116</f>
        <v>21.988287874630771</v>
      </c>
      <c r="N116" s="13">
        <f t="shared" si="19"/>
        <v>1767.2754343732486</v>
      </c>
      <c r="O116" s="4">
        <f>PARAMETERS!$B$9*N116</f>
        <v>3.8699462066567492</v>
      </c>
      <c r="P116" s="4">
        <f>MAX(PARAMETERS!$B$6,PARAMETERS!$B$6+PARAMETERS!$B$10*(O116-PARAMETERS!$B$11))</f>
        <v>6.5549193099851244E-2</v>
      </c>
      <c r="Q116" s="4">
        <f t="shared" si="20"/>
        <v>1.3192438016937249</v>
      </c>
      <c r="R116" s="53"/>
      <c r="S116" s="23">
        <v>1144.4351525806912</v>
      </c>
      <c r="T116" s="4">
        <f t="shared" si="14"/>
        <v>8.6475366703003834E-2</v>
      </c>
      <c r="U116" s="148">
        <f t="shared" si="13"/>
        <v>6217.1855455435989</v>
      </c>
      <c r="V116" s="1"/>
      <c r="W116" s="1"/>
      <c r="X116" s="1"/>
      <c r="AA116" s="1"/>
    </row>
    <row r="117" spans="1:27" ht="20.149999999999999" customHeight="1" x14ac:dyDescent="0.35">
      <c r="A117" s="1">
        <f t="shared" si="15"/>
        <v>2091</v>
      </c>
      <c r="C117" s="13">
        <f>C116+PARAMETERS!$B$5*PARAMETERS!$B$25*K116-P116*C116</f>
        <v>2362.617238995258</v>
      </c>
      <c r="D117" s="4">
        <f>PARAMETERS!$B$19*C117^PARAMETERS!$B$20</f>
        <v>0.37271969316945447</v>
      </c>
      <c r="E117" s="4">
        <f t="shared" si="16"/>
        <v>1.6873717063522612E-3</v>
      </c>
      <c r="G117" s="141">
        <f>G116+PARAMETERS!$B$5*(1-PARAMETERS!$B$25)*K116-P116*G116</f>
        <v>3877.1435306150979</v>
      </c>
      <c r="H117" s="141">
        <f>PARAMETERS!$B$22*G117^(1-PARAMETERS!$B$20)</f>
        <v>1222.7466776823928</v>
      </c>
      <c r="I117" s="141">
        <f t="shared" si="17"/>
        <v>1.9639453316452229E-3</v>
      </c>
      <c r="K117" s="141">
        <f>PARAMETERS!$B$18*D117*H117</f>
        <v>539.59825157122555</v>
      </c>
      <c r="L117" s="141">
        <f t="shared" si="18"/>
        <v>3.6546309437830667E-3</v>
      </c>
      <c r="M117" s="28">
        <f>PARAMETERS!$B$21*EFFICIENCY!H117</f>
        <v>22.031471669953024</v>
      </c>
      <c r="N117" s="13">
        <f t="shared" si="19"/>
        <v>1789.2637222478793</v>
      </c>
      <c r="O117" s="4">
        <f>PARAMETERS!$B$9*N117</f>
        <v>3.9180957421486413</v>
      </c>
      <c r="P117" s="4">
        <f>MAX(PARAMETERS!$B$6,PARAMETERS!$B$6+PARAMETERS!$B$10*(O117-PARAMETERS!$B$11))</f>
        <v>6.6271436132229619E-2</v>
      </c>
      <c r="Q117" s="4">
        <f t="shared" si="20"/>
        <v>1.3048969392005767</v>
      </c>
      <c r="S117" s="23">
        <v>1145.5783552131977</v>
      </c>
      <c r="T117" s="4">
        <f t="shared" si="14"/>
        <v>8.6477394165372937E-2</v>
      </c>
      <c r="U117" s="148">
        <f t="shared" si="13"/>
        <v>6239.760769610356</v>
      </c>
    </row>
    <row r="118" spans="1:27" ht="20.149999999999999" customHeight="1" x14ac:dyDescent="0.35">
      <c r="A118" s="1">
        <f t="shared" si="15"/>
        <v>2092</v>
      </c>
      <c r="C118" s="13">
        <f>C117+PARAMETERS!$B$5*PARAMETERS!$B$25*K117-P117*C117</f>
        <v>2370.0810700139314</v>
      </c>
      <c r="D118" s="4">
        <f>PARAMETERS!$B$19*C118^PARAMETERS!$B$20</f>
        <v>0.37322947529273048</v>
      </c>
      <c r="E118" s="4">
        <f t="shared" si="16"/>
        <v>1.3677359490748607E-3</v>
      </c>
      <c r="G118" s="141">
        <f>G117+PARAMETERS!$B$5*(1-PARAMETERS!$B$25)*K117-P117*G117</f>
        <v>3887.8403935297797</v>
      </c>
      <c r="H118" s="141">
        <f>PARAMETERS!$B$22*G118^(1-PARAMETERS!$B$20)</f>
        <v>1224.6571878971058</v>
      </c>
      <c r="I118" s="141">
        <f t="shared" si="17"/>
        <v>1.5624742635442586E-3</v>
      </c>
      <c r="K118" s="141">
        <f>PARAMETERS!$B$18*D118*H118</f>
        <v>541.18054102833219</v>
      </c>
      <c r="L118" s="141">
        <f t="shared" si="18"/>
        <v>2.9323472648387222E-3</v>
      </c>
      <c r="M118" s="28">
        <f>PARAMETERS!$B$21*EFFICIENCY!H118</f>
        <v>22.06589527742533</v>
      </c>
      <c r="N118" s="13">
        <f t="shared" si="19"/>
        <v>1811.2951939178324</v>
      </c>
      <c r="O118" s="4">
        <f>PARAMETERS!$B$9*N118</f>
        <v>3.9663398406959836</v>
      </c>
      <c r="P118" s="4">
        <f>MAX(PARAMETERS!$B$6,PARAMETERS!$B$6+PARAMETERS!$B$10*(O118-PARAMETERS!$B$11))</f>
        <v>6.6995097610439758E-2</v>
      </c>
      <c r="Q118" s="4">
        <f t="shared" si="20"/>
        <v>1.2908299689847591</v>
      </c>
      <c r="S118" s="23">
        <v>1146.3769089931186</v>
      </c>
      <c r="T118" s="4">
        <f t="shared" si="14"/>
        <v>8.6479279770614856E-2</v>
      </c>
      <c r="U118" s="148">
        <f t="shared" si="13"/>
        <v>6257.9214635437111</v>
      </c>
    </row>
    <row r="119" spans="1:27" ht="20.149999999999999" customHeight="1" x14ac:dyDescent="0.35">
      <c r="A119" s="1">
        <f t="shared" si="15"/>
        <v>2093</v>
      </c>
      <c r="C119" s="13">
        <f>C118+PARAMETERS!$B$5*PARAMETERS!$B$25*K118-P118*C118</f>
        <v>2375.8161418563054</v>
      </c>
      <c r="D119" s="4">
        <f>PARAMETERS!$B$19*C119^PARAMETERS!$B$20</f>
        <v>0.37362056484364425</v>
      </c>
      <c r="E119" s="4">
        <f t="shared" si="16"/>
        <v>1.0478528004976876E-3</v>
      </c>
      <c r="G119" s="141">
        <f>G118+PARAMETERS!$B$5*(1-PARAMETERS!$B$25)*K118-P118*G118</f>
        <v>3895.7996952214939</v>
      </c>
      <c r="H119" s="141">
        <f>PARAMETERS!$B$22*G119^(1-PARAMETERS!$B$20)</f>
        <v>1226.0772791376442</v>
      </c>
      <c r="I119" s="141">
        <f t="shared" si="17"/>
        <v>1.1595826608234916E-3</v>
      </c>
      <c r="K119" s="141">
        <f>PARAMETERS!$B$18*D119*H119</f>
        <v>542.37581971886425</v>
      </c>
      <c r="L119" s="141">
        <f t="shared" si="18"/>
        <v>2.2086505332598195E-3</v>
      </c>
      <c r="M119" s="28">
        <f>PARAMETERS!$B$21*EFFICIENCY!H119</f>
        <v>22.09148250698458</v>
      </c>
      <c r="N119" s="13">
        <f t="shared" si="19"/>
        <v>1833.3610891952578</v>
      </c>
      <c r="O119" s="4">
        <f>PARAMETERS!$B$9*N119</f>
        <v>4.0146593194056743</v>
      </c>
      <c r="P119" s="4">
        <f>MAX(PARAMETERS!$B$6,PARAMETERS!$B$6+PARAMETERS!$B$10*(O119-PARAMETERS!$B$11))</f>
        <v>6.7719889791085119E-2</v>
      </c>
      <c r="Q119" s="4">
        <f t="shared" si="20"/>
        <v>1.2770403766561069</v>
      </c>
      <c r="S119" s="23">
        <v>1146.829561944133</v>
      </c>
      <c r="T119" s="4">
        <f t="shared" si="14"/>
        <v>8.6481033565917395E-2</v>
      </c>
      <c r="U119" s="148">
        <f t="shared" si="13"/>
        <v>6271.6158370777994</v>
      </c>
    </row>
    <row r="120" spans="1:27" ht="20.149999999999999" customHeight="1" x14ac:dyDescent="0.35">
      <c r="A120" s="1">
        <f t="shared" si="15"/>
        <v>2094</v>
      </c>
      <c r="C120" s="13">
        <f>C119+PARAMETERS!$B$5*PARAMETERS!$B$25*K119-P119*C119</f>
        <v>2379.8083837604499</v>
      </c>
      <c r="D120" s="4">
        <f>PARAMETERS!$B$19*C120^PARAMETERS!$B$20</f>
        <v>0.3738924905424314</v>
      </c>
      <c r="E120" s="4">
        <f t="shared" si="16"/>
        <v>7.2781245031558451E-4</v>
      </c>
      <c r="G120" s="141">
        <f>G119+PARAMETERS!$B$5*(1-PARAMETERS!$B$25)*K119-P119*G119</f>
        <v>3900.9949757935078</v>
      </c>
      <c r="H120" s="141">
        <f>PARAMETERS!$B$22*G120^(1-PARAMETERS!$B$20)</f>
        <v>1227.0035382129604</v>
      </c>
      <c r="I120" s="141">
        <f t="shared" si="17"/>
        <v>7.5546549232828012E-4</v>
      </c>
      <c r="K120" s="141">
        <f>PARAMETERS!$B$18*D120*H120</f>
        <v>543.18061202727381</v>
      </c>
      <c r="L120" s="141">
        <f t="shared" si="18"/>
        <v>1.4838277798348701E-3</v>
      </c>
      <c r="M120" s="28">
        <f>PARAMETERS!$B$21*EFFICIENCY!H120</f>
        <v>22.10817185969298</v>
      </c>
      <c r="N120" s="13">
        <f t="shared" si="19"/>
        <v>1855.4525717022425</v>
      </c>
      <c r="O120" s="4">
        <f>PARAMETERS!$B$9*N120</f>
        <v>4.0630348285450566</v>
      </c>
      <c r="P120" s="4">
        <f>MAX(PARAMETERS!$B$6,PARAMETERS!$B$6+PARAMETERS!$B$10*(O120-PARAMETERS!$B$11))</f>
        <v>6.8445522428175837E-2</v>
      </c>
      <c r="Q120" s="4">
        <f t="shared" si="20"/>
        <v>1.2635255279956712</v>
      </c>
      <c r="S120" s="23">
        <v>1146.9354775725126</v>
      </c>
      <c r="T120" s="4">
        <f t="shared" si="14"/>
        <v>8.6482664865000433E-2</v>
      </c>
      <c r="U120" s="148">
        <f t="shared" si="13"/>
        <v>6280.8033595539582</v>
      </c>
    </row>
    <row r="121" spans="1:27" ht="20.149999999999999" customHeight="1" x14ac:dyDescent="0.35">
      <c r="A121" s="1">
        <f t="shared" si="15"/>
        <v>2095</v>
      </c>
      <c r="C121" s="13">
        <f>C120+PARAMETERS!$B$5*PARAMETERS!$B$25*K120-P120*C120</f>
        <v>2382.0480617113044</v>
      </c>
      <c r="D121" s="4">
        <f>PARAMETERS!$B$19*C121^PARAMETERS!$B$20</f>
        <v>0.37404492974262182</v>
      </c>
      <c r="E121" s="4">
        <f t="shared" si="16"/>
        <v>4.0770864365120049E-4</v>
      </c>
      <c r="G121" s="141">
        <f>G120+PARAMETERS!$B$5*(1-PARAMETERS!$B$25)*K120-P120*G120</f>
        <v>3903.40692025116</v>
      </c>
      <c r="H121" s="141">
        <f>PARAMETERS!$B$22*G121^(1-PARAMETERS!$B$20)</f>
        <v>1227.4333786086968</v>
      </c>
      <c r="I121" s="141">
        <f t="shared" si="17"/>
        <v>3.5031716074952995E-4</v>
      </c>
      <c r="K121" s="141">
        <f>PARAMETERS!$B$18*D121*H121</f>
        <v>543.59243452867963</v>
      </c>
      <c r="L121" s="141">
        <f t="shared" si="18"/>
        <v>7.5816863173522916E-4</v>
      </c>
      <c r="M121" s="28">
        <f>PARAMETERS!$B$21*EFFICIENCY!H121</f>
        <v>22.11591673168823</v>
      </c>
      <c r="N121" s="13">
        <f t="shared" si="19"/>
        <v>1877.5607435619354</v>
      </c>
      <c r="O121" s="4">
        <f>PARAMETERS!$B$9*N121</f>
        <v>4.1114468837122677</v>
      </c>
      <c r="P121" s="4">
        <f>MAX(PARAMETERS!$B$6,PARAMETERS!$B$6+PARAMETERS!$B$10*(O121-PARAMETERS!$B$11))</f>
        <v>6.9171703255684017E-2</v>
      </c>
      <c r="Q121" s="4">
        <f t="shared" si="20"/>
        <v>1.2502826767923669</v>
      </c>
      <c r="S121" s="23">
        <v>1146.6942375779483</v>
      </c>
      <c r="T121" s="4">
        <f t="shared" si="14"/>
        <v>8.6484182304803897E-2</v>
      </c>
      <c r="U121" s="148">
        <f t="shared" si="13"/>
        <v>6285.4549819624644</v>
      </c>
    </row>
    <row r="122" spans="1:27" ht="20.149999999999999" customHeight="1" x14ac:dyDescent="0.35">
      <c r="A122" s="1">
        <f t="shared" si="15"/>
        <v>2096</v>
      </c>
      <c r="C122" s="13">
        <f>C121+PARAMETERS!$B$5*PARAMETERS!$B$25*K121-P121*C121</f>
        <v>2382.5298401425512</v>
      </c>
      <c r="D122" s="4">
        <f>PARAMETERS!$B$19*C122^PARAMETERS!$B$20</f>
        <v>0.37407771041200394</v>
      </c>
      <c r="E122" s="4">
        <f t="shared" si="16"/>
        <v>8.7638320360796E-5</v>
      </c>
      <c r="G122" s="141">
        <f>G121+PARAMETERS!$B$5*(1-PARAMETERS!$B$25)*K121-P121*G121</f>
        <v>3903.0234626035881</v>
      </c>
      <c r="H122" s="141">
        <f>PARAMETERS!$B$22*G122^(1-PARAMETERS!$B$20)</f>
        <v>1227.3650490814566</v>
      </c>
      <c r="I122" s="141">
        <f t="shared" si="17"/>
        <v>-5.5668624001099296E-5</v>
      </c>
      <c r="K122" s="141">
        <f>PARAMETERS!$B$18*D122*H122</f>
        <v>543.60981036172802</v>
      </c>
      <c r="L122" s="141">
        <f t="shared" si="18"/>
        <v>3.1964817655080688E-5</v>
      </c>
      <c r="M122" s="28">
        <f>PARAMETERS!$B$21*EFFICIENCY!H122</f>
        <v>22.114685569035256</v>
      </c>
      <c r="N122" s="13">
        <f t="shared" si="19"/>
        <v>1899.6766602936236</v>
      </c>
      <c r="O122" s="4">
        <f>PARAMETERS!$B$9*N122</f>
        <v>4.1598758984531905</v>
      </c>
      <c r="P122" s="4">
        <f>MAX(PARAMETERS!$B$6,PARAMETERS!$B$6+PARAMETERS!$B$10*(O122-PARAMETERS!$B$11))</f>
        <v>6.989813847679785E-2</v>
      </c>
      <c r="Q122" s="4">
        <f t="shared" si="20"/>
        <v>1.2373089724857627</v>
      </c>
      <c r="S122" s="23">
        <v>1146.1058434971126</v>
      </c>
      <c r="T122" s="4">
        <f t="shared" si="14"/>
        <v>8.6485593897394297E-2</v>
      </c>
      <c r="U122" s="148">
        <f t="shared" si="13"/>
        <v>6285.5533027461388</v>
      </c>
    </row>
    <row r="123" spans="1:27" ht="20.149999999999999" customHeight="1" x14ac:dyDescent="0.35">
      <c r="A123" s="1">
        <f t="shared" si="15"/>
        <v>2097</v>
      </c>
      <c r="C123" s="13">
        <f>C122+PARAMETERS!$B$5*PARAMETERS!$B$25*K122-P122*C122</f>
        <v>2381.2528218011294</v>
      </c>
      <c r="D123" s="4">
        <f>PARAMETERS!$B$19*C123^PARAMETERS!$B$20</f>
        <v>0.37399081263179929</v>
      </c>
      <c r="E123" s="4">
        <f t="shared" si="16"/>
        <v>-2.3229873843310614E-4</v>
      </c>
      <c r="G123" s="141">
        <f>G122+PARAMETERS!$B$5*(1-PARAMETERS!$B$25)*K122-P122*G122</f>
        <v>3899.8398540757489</v>
      </c>
      <c r="H123" s="141">
        <f>PARAMETERS!$B$22*G123^(1-PARAMETERS!$B$20)</f>
        <v>1226.7976394648397</v>
      </c>
      <c r="I123" s="141">
        <f t="shared" si="17"/>
        <v>-4.6229898516466939E-4</v>
      </c>
      <c r="K123" s="141">
        <f>PARAMETERS!$B$18*D123*H123</f>
        <v>543.23227860398254</v>
      </c>
      <c r="L123" s="141">
        <f t="shared" si="18"/>
        <v>-6.9449033212677029E-4</v>
      </c>
      <c r="M123" s="28">
        <f>PARAMETERS!$B$21*EFFICIENCY!H123</f>
        <v>22.104461972339454</v>
      </c>
      <c r="N123" s="13">
        <f t="shared" si="19"/>
        <v>1921.7913458626588</v>
      </c>
      <c r="O123" s="4">
        <f>PARAMETERS!$B$9*N123</f>
        <v>4.2083022172175015</v>
      </c>
      <c r="P123" s="4">
        <f>MAX(PARAMETERS!$B$6,PARAMETERS!$B$6+PARAMETERS!$B$10*(O123-PARAMETERS!$B$11))</f>
        <v>7.0624533258262512E-2</v>
      </c>
      <c r="Q123" s="4">
        <f t="shared" si="20"/>
        <v>1.2246014676128427</v>
      </c>
      <c r="S123" s="23">
        <v>1145.170717270724</v>
      </c>
      <c r="T123" s="4">
        <f t="shared" si="14"/>
        <v>8.6486907077540295E-2</v>
      </c>
      <c r="U123" s="148">
        <f t="shared" si="13"/>
        <v>6281.0926758768783</v>
      </c>
    </row>
    <row r="124" spans="1:27" ht="20.149999999999999" customHeight="1" x14ac:dyDescent="0.35">
      <c r="A124" s="1">
        <f t="shared" si="15"/>
        <v>2098</v>
      </c>
      <c r="C124" s="13">
        <f>C123+PARAMETERS!$B$5*PARAMETERS!$B$25*K123-P123*C123</f>
        <v>2378.2205653871147</v>
      </c>
      <c r="D124" s="4">
        <f>PARAMETERS!$B$19*C124^PARAMETERS!$B$20</f>
        <v>0.37378436960722566</v>
      </c>
      <c r="E124" s="4">
        <f t="shared" si="16"/>
        <v>-5.5200025669311932E-4</v>
      </c>
      <c r="G124" s="141">
        <f>G123+PARAMETERS!$B$5*(1-PARAMETERS!$B$25)*K123-P123*G123</f>
        <v>3893.8586947872541</v>
      </c>
      <c r="H124" s="141">
        <f>PARAMETERS!$B$22*G124^(1-PARAMETERS!$B$20)</f>
        <v>1225.7310836404338</v>
      </c>
      <c r="I124" s="141">
        <f t="shared" si="17"/>
        <v>-8.6938203180041531E-4</v>
      </c>
      <c r="K124" s="141">
        <f>PARAMETERS!$B$18*D124*H124</f>
        <v>542.46039856132097</v>
      </c>
      <c r="L124" s="141">
        <f t="shared" si="18"/>
        <v>-1.4209023893888798E-3</v>
      </c>
      <c r="M124" s="28">
        <f>PARAMETERS!$B$21*EFFICIENCY!H124</f>
        <v>22.085244750278086</v>
      </c>
      <c r="N124" s="13">
        <f t="shared" si="19"/>
        <v>1943.8958078349983</v>
      </c>
      <c r="O124" s="4">
        <f>PARAMETERS!$B$9*N124</f>
        <v>4.2567061485437927</v>
      </c>
      <c r="P124" s="4">
        <f>MAX(PARAMETERS!$B$6,PARAMETERS!$B$6+PARAMETERS!$B$10*(O124-PARAMETERS!$B$11))</f>
        <v>7.1350592228156887E-2</v>
      </c>
      <c r="Q124" s="4">
        <f t="shared" si="20"/>
        <v>1.21215712505645</v>
      </c>
      <c r="S124" s="23">
        <v>1143.8897007296391</v>
      </c>
      <c r="T124" s="4">
        <f t="shared" si="14"/>
        <v>8.6488128746357737E-2</v>
      </c>
      <c r="U124" s="148">
        <f t="shared" si="13"/>
        <v>6272.0792601743688</v>
      </c>
    </row>
    <row r="125" spans="1:27" ht="20.149999999999999" customHeight="1" x14ac:dyDescent="0.35">
      <c r="A125" s="1">
        <f t="shared" si="15"/>
        <v>2099</v>
      </c>
      <c r="C125" s="13">
        <f>C124+PARAMETERS!$B$5*PARAMETERS!$B$25*K124-P124*C124</f>
        <v>2373.4410807602035</v>
      </c>
      <c r="D125" s="4">
        <f>PARAMETERS!$B$19*C125^PARAMETERS!$B$20</f>
        <v>0.37345866818508933</v>
      </c>
      <c r="E125" s="4">
        <f t="shared" si="16"/>
        <v>-8.7136180273826331E-4</v>
      </c>
      <c r="G125" s="141">
        <f>G124+PARAMETERS!$B$5*(1-PARAMETERS!$B$25)*K124-P124*G124</f>
        <v>3885.0899285478408</v>
      </c>
      <c r="H125" s="141">
        <f>PARAMETERS!$B$22*G125^(1-PARAMETERS!$B$20)</f>
        <v>1224.1661596439487</v>
      </c>
      <c r="I125" s="141">
        <f t="shared" si="17"/>
        <v>-1.2767270222414605E-3</v>
      </c>
      <c r="K125" s="141">
        <f>PARAMETERS!$B$18*D125*H125</f>
        <v>541.29574892357527</v>
      </c>
      <c r="L125" s="141">
        <f t="shared" si="18"/>
        <v>-2.1469763338199557E-3</v>
      </c>
      <c r="M125" s="28">
        <f>PARAMETERS!$B$21*EFFICIENCY!H125</f>
        <v>22.057047921512588</v>
      </c>
      <c r="N125" s="13">
        <f t="shared" si="19"/>
        <v>1965.9810525852763</v>
      </c>
      <c r="O125" s="4">
        <f>PARAMETERS!$B$9*N125</f>
        <v>4.3050679983619196</v>
      </c>
      <c r="P125" s="4">
        <f>MAX(PARAMETERS!$B$6,PARAMETERS!$B$6+PARAMETERS!$B$10*(O125-PARAMETERS!$B$11))</f>
        <v>7.2076019975428784E-2</v>
      </c>
      <c r="Q125" s="4">
        <f t="shared" si="20"/>
        <v>1.1999728250931456</v>
      </c>
      <c r="S125" s="23">
        <v>1142.2640540002149</v>
      </c>
      <c r="T125" s="4">
        <f t="shared" si="14"/>
        <v>8.6489265311385274E-2</v>
      </c>
      <c r="U125" s="148">
        <f t="shared" si="13"/>
        <v>6258.5310093080443</v>
      </c>
    </row>
    <row r="126" spans="1:27" s="6" customFormat="1" ht="20.25" customHeight="1" x14ac:dyDescent="0.35">
      <c r="A126" s="1">
        <f t="shared" si="15"/>
        <v>2100</v>
      </c>
      <c r="B126" s="39"/>
      <c r="C126" s="13">
        <f>C125+PARAMETERS!$B$5*PARAMETERS!$B$25*K125-P125*C125</f>
        <v>2366.9268016855945</v>
      </c>
      <c r="D126" s="4">
        <f>PARAMETERS!$B$19*C126^PARAMETERS!$B$20</f>
        <v>0.37301414887657347</v>
      </c>
      <c r="E126" s="4">
        <f t="shared" si="16"/>
        <v>-1.1902771213641999E-3</v>
      </c>
      <c r="F126" s="137"/>
      <c r="G126" s="141">
        <f>G125+PARAMETERS!$B$5*(1-PARAMETERS!$B$25)*K125-P125*G125</f>
        <v>3873.5508007175831</v>
      </c>
      <c r="H126" s="141">
        <f>PARAMETERS!$B$22*G126^(1-PARAMETERS!$B$20)</f>
        <v>1222.1044868939111</v>
      </c>
      <c r="I126" s="141">
        <f t="shared" si="17"/>
        <v>-1.6841445369125618E-3</v>
      </c>
      <c r="J126" s="47"/>
      <c r="K126" s="141">
        <f>PARAMETERS!$B$18*D126*H126</f>
        <v>539.74092178009698</v>
      </c>
      <c r="L126" s="141">
        <f t="shared" si="18"/>
        <v>-2.8724170595653717E-3</v>
      </c>
      <c r="M126" s="28">
        <f>PARAMETERS!$B$21*EFFICIENCY!H126</f>
        <v>22.019900664755156</v>
      </c>
      <c r="N126" s="13">
        <f t="shared" si="19"/>
        <v>1988.0381005067889</v>
      </c>
      <c r="O126" s="4">
        <f>PARAMETERS!$B$9*N126</f>
        <v>4.3533681032995384</v>
      </c>
      <c r="P126" s="4">
        <f>MAX(PARAMETERS!$B$6,PARAMETERS!$B$6+PARAMETERS!$B$10*(O126-PARAMETERS!$B$11))</f>
        <v>7.2800521549493069E-2</v>
      </c>
      <c r="Q126" s="4">
        <f t="shared" si="20"/>
        <v>1.188045372238377</v>
      </c>
      <c r="R126" s="53"/>
      <c r="S126" s="23">
        <v>1140.2954528340058</v>
      </c>
      <c r="T126" s="4">
        <f t="shared" si="14"/>
        <v>8.6490322723415489E-2</v>
      </c>
      <c r="U126" s="148">
        <f>C126+G126</f>
        <v>6240.477602403178</v>
      </c>
      <c r="V126" s="1"/>
      <c r="W126" s="1"/>
      <c r="X126" s="1"/>
    </row>
    <row r="127" spans="1:27" ht="20.149999999999999" customHeight="1" x14ac:dyDescent="0.35"/>
    <row r="128" spans="1:27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  <row r="149" ht="20.149999999999999" customHeight="1" x14ac:dyDescent="0.35"/>
    <row r="150" ht="20.149999999999999" customHeight="1" x14ac:dyDescent="0.35"/>
    <row r="151" ht="20.149999999999999" customHeight="1" x14ac:dyDescent="0.35"/>
    <row r="152" ht="20.149999999999999" customHeight="1" x14ac:dyDescent="0.35"/>
    <row r="153" ht="20.149999999999999" customHeight="1" x14ac:dyDescent="0.35"/>
    <row r="154" ht="20.149999999999999" customHeight="1" x14ac:dyDescent="0.35"/>
    <row r="155" ht="20.149999999999999" customHeight="1" x14ac:dyDescent="0.35"/>
    <row r="156" ht="20.149999999999999" customHeight="1" x14ac:dyDescent="0.35"/>
    <row r="157" ht="20.149999999999999" customHeight="1" x14ac:dyDescent="0.35"/>
    <row r="158" ht="20.149999999999999" customHeight="1" x14ac:dyDescent="0.35"/>
    <row r="159" ht="20.149999999999999" customHeight="1" x14ac:dyDescent="0.35"/>
    <row r="160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spans="20:24" ht="20.149999999999999" customHeight="1" x14ac:dyDescent="0.35"/>
    <row r="178" spans="20:24" ht="20.149999999999999" customHeight="1" x14ac:dyDescent="0.35"/>
    <row r="179" spans="20:24" ht="20.149999999999999" customHeight="1" x14ac:dyDescent="0.35"/>
    <row r="180" spans="20:24" ht="20.149999999999999" customHeight="1" x14ac:dyDescent="0.35"/>
    <row r="181" spans="20:24" ht="20.149999999999999" customHeight="1" x14ac:dyDescent="0.35"/>
    <row r="182" spans="20:24" ht="20.149999999999999" customHeight="1" x14ac:dyDescent="0.35"/>
    <row r="183" spans="20:24" ht="20.149999999999999" customHeight="1" x14ac:dyDescent="0.35"/>
    <row r="184" spans="20:24" ht="20.149999999999999" customHeight="1" x14ac:dyDescent="0.35"/>
    <row r="185" spans="20:24" ht="20.149999999999999" customHeight="1" x14ac:dyDescent="0.35"/>
    <row r="186" spans="20:24" ht="20.149999999999999" customHeight="1" x14ac:dyDescent="0.35"/>
    <row r="187" spans="20:24" ht="20.149999999999999" customHeight="1" x14ac:dyDescent="0.35"/>
    <row r="188" spans="20:24" ht="20.149999999999999" customHeight="1" x14ac:dyDescent="0.35">
      <c r="W188" s="6"/>
      <c r="X188" s="6"/>
    </row>
    <row r="189" spans="20:24" ht="20.149999999999999" customHeight="1" x14ac:dyDescent="0.35">
      <c r="T189" s="6"/>
      <c r="U189" s="12"/>
      <c r="V189" s="6"/>
      <c r="W189" s="6"/>
      <c r="X189" s="6"/>
    </row>
    <row r="190" spans="20:24" ht="20.149999999999999" customHeight="1" x14ac:dyDescent="0.35">
      <c r="T190" s="6"/>
      <c r="U190" s="12"/>
      <c r="V190" s="6"/>
    </row>
    <row r="191" spans="20:24" ht="20.149999999999999" customHeight="1" x14ac:dyDescent="0.35"/>
    <row r="192" spans="20:24" ht="20.149999999999999" customHeight="1" x14ac:dyDescent="0.35"/>
    <row r="193" spans="2:24" ht="20.149999999999999" customHeight="1" x14ac:dyDescent="0.35"/>
    <row r="194" spans="2:24" ht="20.149999999999999" customHeight="1" x14ac:dyDescent="0.35"/>
    <row r="195" spans="2:24" ht="20.149999999999999" customHeight="1" x14ac:dyDescent="0.35"/>
    <row r="196" spans="2:24" ht="20.149999999999999" customHeight="1" x14ac:dyDescent="0.35"/>
    <row r="197" spans="2:24" ht="20.149999999999999" customHeight="1" x14ac:dyDescent="0.35"/>
    <row r="198" spans="2:24" ht="20.149999999999999" customHeight="1" x14ac:dyDescent="0.35"/>
    <row r="199" spans="2:24" ht="20.149999999999999" customHeight="1" x14ac:dyDescent="0.35"/>
    <row r="200" spans="2:24" ht="20.149999999999999" customHeight="1" x14ac:dyDescent="0.35"/>
    <row r="201" spans="2:24" ht="20.149999999999999" customHeight="1" x14ac:dyDescent="0.35"/>
    <row r="202" spans="2:24" ht="20.149999999999999" customHeight="1" x14ac:dyDescent="0.35"/>
    <row r="203" spans="2:24" ht="20.149999999999999" customHeight="1" x14ac:dyDescent="0.35"/>
    <row r="204" spans="2:24" ht="20.149999999999999" customHeight="1" x14ac:dyDescent="0.35"/>
    <row r="205" spans="2:24" s="6" customFormat="1" ht="20.149999999999999" customHeight="1" x14ac:dyDescent="0.35">
      <c r="B205" s="39"/>
      <c r="C205" s="23"/>
      <c r="D205" s="4"/>
      <c r="E205" s="4"/>
      <c r="F205" s="137"/>
      <c r="G205" s="141"/>
      <c r="H205" s="141"/>
      <c r="I205" s="141"/>
      <c r="J205" s="47"/>
      <c r="K205" s="141"/>
      <c r="L205" s="141"/>
      <c r="M205" s="28"/>
      <c r="N205" s="13"/>
      <c r="O205" s="4"/>
      <c r="P205" s="4"/>
      <c r="Q205" s="4"/>
      <c r="R205" s="53"/>
      <c r="S205" s="23"/>
      <c r="T205" s="1"/>
      <c r="U205" s="5"/>
      <c r="V205" s="1"/>
      <c r="W205" s="1"/>
      <c r="X205" s="1"/>
    </row>
    <row r="206" spans="2:24" s="6" customFormat="1" ht="20.149999999999999" customHeight="1" x14ac:dyDescent="0.35">
      <c r="B206" s="39"/>
      <c r="C206" s="23"/>
      <c r="D206" s="4"/>
      <c r="E206" s="4"/>
      <c r="F206" s="137"/>
      <c r="G206" s="141"/>
      <c r="H206" s="141"/>
      <c r="I206" s="141"/>
      <c r="J206" s="47"/>
      <c r="K206" s="141"/>
      <c r="L206" s="141"/>
      <c r="M206" s="28"/>
      <c r="N206" s="13"/>
      <c r="O206" s="4"/>
      <c r="P206" s="4"/>
      <c r="Q206" s="4"/>
      <c r="R206" s="53"/>
      <c r="S206" s="23"/>
      <c r="T206" s="1"/>
      <c r="U206" s="5"/>
      <c r="V206" s="1"/>
      <c r="W206" s="1"/>
      <c r="X206" s="1"/>
    </row>
    <row r="207" spans="2:24" ht="20.149999999999999" customHeight="1" x14ac:dyDescent="0.35"/>
    <row r="208" spans="2:24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</sheetData>
  <mergeCells count="5">
    <mergeCell ref="A1:P1"/>
    <mergeCell ref="A2:P2"/>
    <mergeCell ref="G3:I3"/>
    <mergeCell ref="C3:E3"/>
    <mergeCell ref="K3:P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00"/>
  <sheetViews>
    <sheetView topLeftCell="B1" zoomScale="130" zoomScaleNormal="130" workbookViewId="0">
      <selection activeCell="K15" sqref="K15"/>
    </sheetView>
  </sheetViews>
  <sheetFormatPr defaultRowHeight="14.5" x14ac:dyDescent="0.35"/>
  <cols>
    <col min="1" max="3" width="10.7265625" customWidth="1"/>
    <col min="4" max="4" width="10.7265625" style="89" customWidth="1"/>
    <col min="5" max="5" width="10.7265625" customWidth="1"/>
    <col min="6" max="7" width="10.7265625" style="89" customWidth="1"/>
    <col min="8" max="8" width="10.7265625" style="34" customWidth="1"/>
    <col min="9" max="9" width="10.7265625" style="89" customWidth="1"/>
    <col min="10" max="10" width="10.7265625" style="91" customWidth="1"/>
    <col min="11" max="12" width="10.7265625" style="89" customWidth="1"/>
    <col min="13" max="13" width="1" style="92" customWidth="1"/>
    <col min="14" max="14" width="81.7265625" customWidth="1"/>
  </cols>
  <sheetData>
    <row r="1" spans="1:49" x14ac:dyDescent="0.35">
      <c r="A1" s="165" t="s">
        <v>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51"/>
    </row>
    <row r="2" spans="1:49" s="105" customFormat="1" ht="72" customHeight="1" x14ac:dyDescent="0.35">
      <c r="A2" s="102" t="s">
        <v>9</v>
      </c>
      <c r="B2" s="102" t="s">
        <v>10</v>
      </c>
      <c r="C2" s="102" t="s">
        <v>11</v>
      </c>
      <c r="D2" s="103" t="s">
        <v>31</v>
      </c>
      <c r="E2" s="102" t="s">
        <v>60</v>
      </c>
      <c r="F2" s="103" t="s">
        <v>61</v>
      </c>
      <c r="G2" s="103" t="s">
        <v>56</v>
      </c>
      <c r="H2" s="114" t="s">
        <v>150</v>
      </c>
      <c r="I2" s="103" t="s">
        <v>151</v>
      </c>
      <c r="J2" s="111" t="s">
        <v>57</v>
      </c>
      <c r="K2" s="111" t="s">
        <v>62</v>
      </c>
      <c r="L2" s="111" t="s">
        <v>152</v>
      </c>
      <c r="M2" s="104"/>
      <c r="N2" s="63" t="s">
        <v>69</v>
      </c>
      <c r="AV2" s="105" t="s">
        <v>57</v>
      </c>
      <c r="AW2" s="105" t="s">
        <v>57</v>
      </c>
    </row>
    <row r="3" spans="1:49" s="90" customFormat="1" ht="29" x14ac:dyDescent="0.35">
      <c r="A3" s="24"/>
      <c r="B3" s="106" t="s">
        <v>53</v>
      </c>
      <c r="C3" s="106" t="s">
        <v>52</v>
      </c>
      <c r="D3" s="107" t="s">
        <v>54</v>
      </c>
      <c r="E3" s="106" t="s">
        <v>8</v>
      </c>
      <c r="F3" s="106" t="s">
        <v>58</v>
      </c>
      <c r="G3" s="106" t="s">
        <v>55</v>
      </c>
      <c r="H3" s="115"/>
      <c r="I3" s="106" t="s">
        <v>55</v>
      </c>
      <c r="J3" s="96" t="s">
        <v>44</v>
      </c>
      <c r="K3" s="96" t="s">
        <v>44</v>
      </c>
      <c r="L3" s="96" t="s">
        <v>44</v>
      </c>
      <c r="M3" s="97"/>
      <c r="N3" s="108" t="s">
        <v>70</v>
      </c>
    </row>
    <row r="4" spans="1:49" x14ac:dyDescent="0.35">
      <c r="A4" s="5">
        <v>2020</v>
      </c>
      <c r="B4" s="36">
        <v>1</v>
      </c>
      <c r="C4" s="36">
        <f>B4</f>
        <v>1</v>
      </c>
      <c r="D4" s="93">
        <f>C4*PARAMETERS!$B$9/1000000000</f>
        <v>2.1897810218978103E-12</v>
      </c>
      <c r="E4" s="93">
        <f>D4*PARAMETERS!$B$10</f>
        <v>3.2846715328467152E-14</v>
      </c>
      <c r="F4" s="93">
        <f>BAU!$B$45*1000000000000</f>
        <v>1223264171999652.8</v>
      </c>
      <c r="G4" s="93">
        <f>E4*F4</f>
        <v>40.180210029185673</v>
      </c>
      <c r="H4" s="113">
        <f>1</f>
        <v>1</v>
      </c>
      <c r="I4" s="93">
        <f>H4*G4</f>
        <v>40.180210029185673</v>
      </c>
      <c r="J4" s="98">
        <f>SUM(I4:I34)/SUM(B4:B34)</f>
        <v>818.36794130170347</v>
      </c>
      <c r="K4" s="98">
        <f>SUM(I4:I84)/SUM(B4:B84)</f>
        <v>1225.7342938800282</v>
      </c>
      <c r="L4" s="98">
        <f>I4/PARAMETERS!B6</f>
        <v>1339.3403343061891</v>
      </c>
      <c r="M4" s="94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R4" s="89"/>
      <c r="AS4" s="89"/>
      <c r="AU4" s="89"/>
      <c r="AV4" s="89">
        <f>SUM(AU4:AU34)</f>
        <v>0</v>
      </c>
      <c r="AW4" s="89">
        <f>SUM(AU4:AU84)</f>
        <v>0</v>
      </c>
    </row>
    <row r="5" spans="1:49" x14ac:dyDescent="0.35">
      <c r="A5" s="36">
        <f>A4+1</f>
        <v>2021</v>
      </c>
      <c r="B5" s="36"/>
      <c r="C5" s="36">
        <f>C4+B5</f>
        <v>1</v>
      </c>
      <c r="D5" s="93">
        <f>C5*PARAMETERS!$B$9/1000000000</f>
        <v>2.1897810218978103E-12</v>
      </c>
      <c r="E5" s="93">
        <f>D5*PARAMETERS!$B$10</f>
        <v>3.2846715328467152E-14</v>
      </c>
      <c r="F5" s="93">
        <f>BAU!$B$45*1000000000000</f>
        <v>1223264171999652.8</v>
      </c>
      <c r="G5" s="93">
        <f>E5*F5</f>
        <v>40.180210029185673</v>
      </c>
      <c r="H5" s="113">
        <f>H4*(1-PARAMETERS!$B$6)</f>
        <v>0.97</v>
      </c>
      <c r="I5" s="93">
        <f>H5*G5</f>
        <v>38.9748037283101</v>
      </c>
      <c r="J5" s="99" t="s">
        <v>59</v>
      </c>
      <c r="K5" s="99" t="s">
        <v>59</v>
      </c>
      <c r="L5" s="99" t="s">
        <v>59</v>
      </c>
      <c r="M5" s="94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R5" s="89"/>
      <c r="AS5" s="89"/>
      <c r="AU5" s="89"/>
      <c r="AV5">
        <f>AV4*(12/44)</f>
        <v>0</v>
      </c>
    </row>
    <row r="6" spans="1:49" x14ac:dyDescent="0.35">
      <c r="A6" s="36">
        <f t="shared" ref="A6:A69" si="0">A5+1</f>
        <v>2022</v>
      </c>
      <c r="B6" s="36"/>
      <c r="C6" s="36">
        <f t="shared" ref="C6:C69" si="1">C5+B6</f>
        <v>1</v>
      </c>
      <c r="D6" s="93">
        <f>C6*PARAMETERS!$B$9/1000000000</f>
        <v>2.1897810218978103E-12</v>
      </c>
      <c r="E6" s="93">
        <f>D6*PARAMETERS!$B$10</f>
        <v>3.2846715328467152E-14</v>
      </c>
      <c r="F6" s="93">
        <f>BAU!$B$45*1000000000000</f>
        <v>1223264171999652.8</v>
      </c>
      <c r="G6" s="93">
        <f t="shared" ref="G6:G69" si="2">E6*F6</f>
        <v>40.180210029185673</v>
      </c>
      <c r="H6" s="113">
        <f>H5*(1-PARAMETERS!$B$6)</f>
        <v>0.94089999999999996</v>
      </c>
      <c r="I6" s="93">
        <f t="shared" ref="I6:I69" si="3">H6*G6</f>
        <v>37.805559616460798</v>
      </c>
      <c r="J6" s="98">
        <f>J4*12/44</f>
        <v>223.1912567186464</v>
      </c>
      <c r="K6" s="98">
        <f>K4*12/44</f>
        <v>334.29117105818949</v>
      </c>
      <c r="L6" s="98">
        <f>L4*12/44</f>
        <v>365.27463662896065</v>
      </c>
      <c r="M6" s="94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R6" s="89"/>
      <c r="AS6" s="89"/>
      <c r="AU6" s="89"/>
    </row>
    <row r="7" spans="1:49" x14ac:dyDescent="0.35">
      <c r="A7" s="36">
        <f t="shared" si="0"/>
        <v>2023</v>
      </c>
      <c r="B7" s="36"/>
      <c r="C7" s="36">
        <f t="shared" si="1"/>
        <v>1</v>
      </c>
      <c r="D7" s="93">
        <f>C7*PARAMETERS!$B$9/1000000000</f>
        <v>2.1897810218978103E-12</v>
      </c>
      <c r="E7" s="93">
        <f>D7*PARAMETERS!$B$10</f>
        <v>3.2846715328467152E-14</v>
      </c>
      <c r="F7" s="93">
        <f>BAU!$B$45*1000000000000</f>
        <v>1223264171999652.8</v>
      </c>
      <c r="G7" s="93">
        <f t="shared" si="2"/>
        <v>40.180210029185673</v>
      </c>
      <c r="H7" s="113">
        <f>H6*(1-PARAMETERS!$B$6)</f>
        <v>0.91267299999999996</v>
      </c>
      <c r="I7" s="93">
        <f t="shared" si="3"/>
        <v>36.671392827966976</v>
      </c>
      <c r="J7" s="100"/>
      <c r="K7" s="93"/>
      <c r="L7" s="93"/>
      <c r="M7" s="94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R7" s="89"/>
      <c r="AS7" s="89"/>
      <c r="AU7" s="89"/>
    </row>
    <row r="8" spans="1:49" x14ac:dyDescent="0.35">
      <c r="A8" s="36">
        <f t="shared" si="0"/>
        <v>2024</v>
      </c>
      <c r="B8" s="36"/>
      <c r="C8" s="36">
        <f t="shared" si="1"/>
        <v>1</v>
      </c>
      <c r="D8" s="93">
        <f>C8*PARAMETERS!$B$9/1000000000</f>
        <v>2.1897810218978103E-12</v>
      </c>
      <c r="E8" s="93">
        <f>D8*PARAMETERS!$B$10</f>
        <v>3.2846715328467152E-14</v>
      </c>
      <c r="F8" s="93">
        <f>BAU!$B$45*1000000000000</f>
        <v>1223264171999652.8</v>
      </c>
      <c r="G8" s="93">
        <f t="shared" si="2"/>
        <v>40.180210029185673</v>
      </c>
      <c r="H8" s="113">
        <f>H7*(1-PARAMETERS!$B$6)</f>
        <v>0.88529280999999993</v>
      </c>
      <c r="I8" s="93">
        <f t="shared" si="3"/>
        <v>35.571251043127965</v>
      </c>
      <c r="J8" s="100"/>
      <c r="K8" s="93"/>
      <c r="L8" s="93"/>
      <c r="M8" s="94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R8" s="89"/>
      <c r="AS8" s="89"/>
      <c r="AU8" s="89"/>
    </row>
    <row r="9" spans="1:49" x14ac:dyDescent="0.35">
      <c r="A9" s="36">
        <f t="shared" si="0"/>
        <v>2025</v>
      </c>
      <c r="B9" s="36"/>
      <c r="C9" s="36">
        <f t="shared" si="1"/>
        <v>1</v>
      </c>
      <c r="D9" s="93">
        <f>C9*PARAMETERS!$B$9/1000000000</f>
        <v>2.1897810218978103E-12</v>
      </c>
      <c r="E9" s="93">
        <f>D9*PARAMETERS!$B$10</f>
        <v>3.2846715328467152E-14</v>
      </c>
      <c r="F9" s="93">
        <f>BAU!$B$45*1000000000000</f>
        <v>1223264171999652.8</v>
      </c>
      <c r="G9" s="93">
        <f t="shared" si="2"/>
        <v>40.180210029185673</v>
      </c>
      <c r="H9" s="113">
        <f>H8*(1-PARAMETERS!$B$6)</f>
        <v>0.8587340256999999</v>
      </c>
      <c r="I9" s="93">
        <f t="shared" si="3"/>
        <v>34.50411351183412</v>
      </c>
      <c r="J9" s="100"/>
      <c r="K9" s="93"/>
      <c r="L9" s="93"/>
      <c r="M9" s="94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R9" s="89"/>
      <c r="AS9" s="89"/>
      <c r="AU9" s="89"/>
    </row>
    <row r="10" spans="1:49" x14ac:dyDescent="0.35">
      <c r="A10" s="36">
        <f t="shared" si="0"/>
        <v>2026</v>
      </c>
      <c r="B10" s="36"/>
      <c r="C10" s="36">
        <f t="shared" si="1"/>
        <v>1</v>
      </c>
      <c r="D10" s="93">
        <f>C10*PARAMETERS!$B$9/1000000000</f>
        <v>2.1897810218978103E-12</v>
      </c>
      <c r="E10" s="93">
        <f>D10*PARAMETERS!$B$10</f>
        <v>3.2846715328467152E-14</v>
      </c>
      <c r="F10" s="93">
        <f>BAU!$B$45*1000000000000</f>
        <v>1223264171999652.8</v>
      </c>
      <c r="G10" s="93">
        <f t="shared" si="2"/>
        <v>40.180210029185673</v>
      </c>
      <c r="H10" s="113">
        <f>H9*(1-PARAMETERS!$B$6)</f>
        <v>0.83297200492899992</v>
      </c>
      <c r="I10" s="93">
        <f t="shared" si="3"/>
        <v>33.468990106479097</v>
      </c>
      <c r="J10" s="100"/>
      <c r="K10" s="93"/>
      <c r="L10" s="93"/>
      <c r="M10" s="94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R10" s="89"/>
      <c r="AS10" s="89"/>
      <c r="AU10" s="89"/>
    </row>
    <row r="11" spans="1:49" x14ac:dyDescent="0.35">
      <c r="A11" s="36">
        <f t="shared" si="0"/>
        <v>2027</v>
      </c>
      <c r="B11" s="36"/>
      <c r="C11" s="36">
        <f t="shared" si="1"/>
        <v>1</v>
      </c>
      <c r="D11" s="93">
        <f>C11*PARAMETERS!$B$9/1000000000</f>
        <v>2.1897810218978103E-12</v>
      </c>
      <c r="E11" s="93">
        <f>D11*PARAMETERS!$B$10</f>
        <v>3.2846715328467152E-14</v>
      </c>
      <c r="F11" s="93">
        <f>BAU!$B$45*1000000000000</f>
        <v>1223264171999652.8</v>
      </c>
      <c r="G11" s="93">
        <f t="shared" si="2"/>
        <v>40.180210029185673</v>
      </c>
      <c r="H11" s="113">
        <f>H10*(1-PARAMETERS!$B$6)</f>
        <v>0.80798284478112992</v>
      </c>
      <c r="I11" s="93">
        <f t="shared" si="3"/>
        <v>32.464920403284729</v>
      </c>
      <c r="J11" s="100"/>
      <c r="K11" s="93"/>
      <c r="L11" s="93"/>
      <c r="M11" s="94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R11" s="89"/>
      <c r="AS11" s="89"/>
      <c r="AU11" s="89"/>
    </row>
    <row r="12" spans="1:49" x14ac:dyDescent="0.35">
      <c r="A12" s="36">
        <f t="shared" si="0"/>
        <v>2028</v>
      </c>
      <c r="B12" s="36"/>
      <c r="C12" s="36">
        <f t="shared" si="1"/>
        <v>1</v>
      </c>
      <c r="D12" s="93">
        <f>C12*PARAMETERS!$B$9/1000000000</f>
        <v>2.1897810218978103E-12</v>
      </c>
      <c r="E12" s="93">
        <f>D12*PARAMETERS!$B$10</f>
        <v>3.2846715328467152E-14</v>
      </c>
      <c r="F12" s="93">
        <f>BAU!$B$45*1000000000000</f>
        <v>1223264171999652.8</v>
      </c>
      <c r="G12" s="93">
        <f t="shared" si="2"/>
        <v>40.180210029185673</v>
      </c>
      <c r="H12" s="113">
        <f>H11*(1-PARAMETERS!$B$6)</f>
        <v>0.78374335943769602</v>
      </c>
      <c r="I12" s="93">
        <f t="shared" si="3"/>
        <v>31.490972791186184</v>
      </c>
      <c r="J12" s="100"/>
      <c r="K12" s="93"/>
      <c r="L12" s="93"/>
      <c r="M12" s="94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R12" s="89"/>
      <c r="AS12" s="89"/>
      <c r="AU12" s="89"/>
    </row>
    <row r="13" spans="1:49" x14ac:dyDescent="0.35">
      <c r="A13" s="36">
        <f t="shared" si="0"/>
        <v>2029</v>
      </c>
      <c r="B13" s="36"/>
      <c r="C13" s="36">
        <f t="shared" si="1"/>
        <v>1</v>
      </c>
      <c r="D13" s="93">
        <f>C13*PARAMETERS!$B$9/1000000000</f>
        <v>2.1897810218978103E-12</v>
      </c>
      <c r="E13" s="93">
        <f>D13*PARAMETERS!$B$10</f>
        <v>3.2846715328467152E-14</v>
      </c>
      <c r="F13" s="93">
        <f>BAU!$B$45*1000000000000</f>
        <v>1223264171999652.8</v>
      </c>
      <c r="G13" s="93">
        <f t="shared" si="2"/>
        <v>40.180210029185673</v>
      </c>
      <c r="H13" s="113">
        <f>H12*(1-PARAMETERS!$B$6)</f>
        <v>0.76023105865456508</v>
      </c>
      <c r="I13" s="93">
        <f t="shared" si="3"/>
        <v>30.546243607450599</v>
      </c>
      <c r="J13" s="100"/>
      <c r="K13" s="93"/>
      <c r="L13" s="93"/>
      <c r="M13" s="94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R13" s="89"/>
      <c r="AS13" s="89"/>
      <c r="AU13" s="89"/>
    </row>
    <row r="14" spans="1:49" x14ac:dyDescent="0.35">
      <c r="A14" s="36">
        <f t="shared" si="0"/>
        <v>2030</v>
      </c>
      <c r="B14" s="36"/>
      <c r="C14" s="36">
        <f t="shared" si="1"/>
        <v>1</v>
      </c>
      <c r="D14" s="93">
        <f>C14*PARAMETERS!$B$9/1000000000</f>
        <v>2.1897810218978103E-12</v>
      </c>
      <c r="E14" s="93">
        <f>D14*PARAMETERS!$B$10</f>
        <v>3.2846715328467152E-14</v>
      </c>
      <c r="F14" s="93">
        <f>BAU!$B$45*1000000000000</f>
        <v>1223264171999652.8</v>
      </c>
      <c r="G14" s="93">
        <f t="shared" si="2"/>
        <v>40.180210029185673</v>
      </c>
      <c r="H14" s="113">
        <f>H13*(1-PARAMETERS!$B$6)</f>
        <v>0.73742412689492809</v>
      </c>
      <c r="I14" s="93">
        <f t="shared" si="3"/>
        <v>29.629856299227079</v>
      </c>
      <c r="J14" s="100"/>
      <c r="K14" s="93"/>
      <c r="L14" s="93"/>
      <c r="M14" s="94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R14" s="89"/>
      <c r="AS14" s="89"/>
      <c r="AU14" s="89"/>
    </row>
    <row r="15" spans="1:49" x14ac:dyDescent="0.35">
      <c r="A15" s="36">
        <f t="shared" si="0"/>
        <v>2031</v>
      </c>
      <c r="B15" s="36"/>
      <c r="C15" s="36">
        <f t="shared" si="1"/>
        <v>1</v>
      </c>
      <c r="D15" s="93">
        <f>C15*PARAMETERS!$B$9/1000000000</f>
        <v>2.1897810218978103E-12</v>
      </c>
      <c r="E15" s="93">
        <f>D15*PARAMETERS!$B$10</f>
        <v>3.2846715328467152E-14</v>
      </c>
      <c r="F15" s="93">
        <f>BAU!$B$45*1000000000000</f>
        <v>1223264171999652.8</v>
      </c>
      <c r="G15" s="93">
        <f t="shared" si="2"/>
        <v>40.180210029185673</v>
      </c>
      <c r="H15" s="113">
        <f>H14*(1-PARAMETERS!$B$6)</f>
        <v>0.71530140308808021</v>
      </c>
      <c r="I15" s="93">
        <f t="shared" si="3"/>
        <v>28.740960610250266</v>
      </c>
      <c r="J15" s="100"/>
      <c r="K15" s="93"/>
      <c r="L15" s="93"/>
      <c r="M15" s="94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R15" s="89"/>
      <c r="AS15" s="89"/>
      <c r="AU15" s="89"/>
    </row>
    <row r="16" spans="1:49" x14ac:dyDescent="0.35">
      <c r="A16" s="36">
        <f t="shared" si="0"/>
        <v>2032</v>
      </c>
      <c r="B16" s="36"/>
      <c r="C16" s="36">
        <f t="shared" si="1"/>
        <v>1</v>
      </c>
      <c r="D16" s="93">
        <f>C16*PARAMETERS!$B$9/1000000000</f>
        <v>2.1897810218978103E-12</v>
      </c>
      <c r="E16" s="93">
        <f>D16*PARAMETERS!$B$10</f>
        <v>3.2846715328467152E-14</v>
      </c>
      <c r="F16" s="93">
        <f>BAU!$B$45*1000000000000</f>
        <v>1223264171999652.8</v>
      </c>
      <c r="G16" s="93">
        <f t="shared" si="2"/>
        <v>40.180210029185673</v>
      </c>
      <c r="H16" s="113">
        <f>H15*(1-PARAMETERS!$B$6)</f>
        <v>0.69384236099543783</v>
      </c>
      <c r="I16" s="93">
        <f t="shared" si="3"/>
        <v>27.878731791942759</v>
      </c>
      <c r="J16" s="100"/>
      <c r="K16" s="93"/>
      <c r="L16" s="93"/>
      <c r="M16" s="94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R16" s="89"/>
      <c r="AS16" s="89"/>
      <c r="AU16" s="89"/>
    </row>
    <row r="17" spans="1:47" x14ac:dyDescent="0.35">
      <c r="A17" s="36">
        <f t="shared" si="0"/>
        <v>2033</v>
      </c>
      <c r="B17" s="36"/>
      <c r="C17" s="36">
        <f t="shared" si="1"/>
        <v>1</v>
      </c>
      <c r="D17" s="93">
        <f>C17*PARAMETERS!$B$9/1000000000</f>
        <v>2.1897810218978103E-12</v>
      </c>
      <c r="E17" s="93">
        <f>D17*PARAMETERS!$B$10</f>
        <v>3.2846715328467152E-14</v>
      </c>
      <c r="F17" s="93">
        <f>BAU!$B$45*1000000000000</f>
        <v>1223264171999652.8</v>
      </c>
      <c r="G17" s="93">
        <f t="shared" si="2"/>
        <v>40.180210029185673</v>
      </c>
      <c r="H17" s="113">
        <f>H16*(1-PARAMETERS!$B$6)</f>
        <v>0.67302709016557472</v>
      </c>
      <c r="I17" s="93">
        <f t="shared" si="3"/>
        <v>27.042369838184477</v>
      </c>
      <c r="J17" s="100"/>
      <c r="K17" s="93"/>
      <c r="L17" s="93"/>
      <c r="M17" s="94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R17" s="89"/>
      <c r="AS17" s="89"/>
      <c r="AU17" s="89"/>
    </row>
    <row r="18" spans="1:47" x14ac:dyDescent="0.35">
      <c r="A18" s="36">
        <f t="shared" si="0"/>
        <v>2034</v>
      </c>
      <c r="B18" s="36"/>
      <c r="C18" s="36">
        <f t="shared" si="1"/>
        <v>1</v>
      </c>
      <c r="D18" s="93">
        <f>C18*PARAMETERS!$B$9/1000000000</f>
        <v>2.1897810218978103E-12</v>
      </c>
      <c r="E18" s="93">
        <f>D18*PARAMETERS!$B$10</f>
        <v>3.2846715328467152E-14</v>
      </c>
      <c r="F18" s="93">
        <f>BAU!$B$45*1000000000000</f>
        <v>1223264171999652.8</v>
      </c>
      <c r="G18" s="93">
        <f t="shared" si="2"/>
        <v>40.180210029185673</v>
      </c>
      <c r="H18" s="113">
        <f>H17*(1-PARAMETERS!$B$6)</f>
        <v>0.65283627746060746</v>
      </c>
      <c r="I18" s="93">
        <f t="shared" si="3"/>
        <v>26.231098743038942</v>
      </c>
      <c r="J18" s="100"/>
      <c r="K18" s="93"/>
      <c r="L18" s="93"/>
      <c r="M18" s="94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R18" s="89"/>
      <c r="AS18" s="89"/>
      <c r="AU18" s="89"/>
    </row>
    <row r="19" spans="1:47" x14ac:dyDescent="0.35">
      <c r="A19" s="36">
        <f t="shared" si="0"/>
        <v>2035</v>
      </c>
      <c r="B19" s="36"/>
      <c r="C19" s="36">
        <f t="shared" si="1"/>
        <v>1</v>
      </c>
      <c r="D19" s="93">
        <f>C19*PARAMETERS!$B$9/1000000000</f>
        <v>2.1897810218978103E-12</v>
      </c>
      <c r="E19" s="93">
        <f>D19*PARAMETERS!$B$10</f>
        <v>3.2846715328467152E-14</v>
      </c>
      <c r="F19" s="93">
        <f>BAU!$B$45*1000000000000</f>
        <v>1223264171999652.8</v>
      </c>
      <c r="G19" s="93">
        <f t="shared" si="2"/>
        <v>40.180210029185673</v>
      </c>
      <c r="H19" s="113">
        <f>H18*(1-PARAMETERS!$B$6)</f>
        <v>0.63325118913678924</v>
      </c>
      <c r="I19" s="93">
        <f t="shared" si="3"/>
        <v>25.444165780747774</v>
      </c>
      <c r="J19" s="100"/>
      <c r="K19" s="93"/>
      <c r="L19" s="93"/>
      <c r="M19" s="94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R19" s="89"/>
      <c r="AS19" s="89"/>
      <c r="AU19" s="89"/>
    </row>
    <row r="20" spans="1:47" x14ac:dyDescent="0.35">
      <c r="A20" s="36">
        <f t="shared" si="0"/>
        <v>2036</v>
      </c>
      <c r="B20" s="36"/>
      <c r="C20" s="36">
        <f t="shared" si="1"/>
        <v>1</v>
      </c>
      <c r="D20" s="93">
        <f>C20*PARAMETERS!$B$9/1000000000</f>
        <v>2.1897810218978103E-12</v>
      </c>
      <c r="E20" s="93">
        <f>D20*PARAMETERS!$B$10</f>
        <v>3.2846715328467152E-14</v>
      </c>
      <c r="F20" s="93">
        <f>BAU!$B$45*1000000000000</f>
        <v>1223264171999652.8</v>
      </c>
      <c r="G20" s="93">
        <f t="shared" si="2"/>
        <v>40.180210029185673</v>
      </c>
      <c r="H20" s="113">
        <f>H19*(1-PARAMETERS!$B$6)</f>
        <v>0.61425365346268557</v>
      </c>
      <c r="I20" s="93">
        <f t="shared" si="3"/>
        <v>24.680840807325339</v>
      </c>
      <c r="J20" s="100"/>
      <c r="K20" s="93"/>
      <c r="L20" s="93"/>
      <c r="M20" s="94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R20" s="89"/>
      <c r="AS20" s="89"/>
      <c r="AU20" s="89"/>
    </row>
    <row r="21" spans="1:47" x14ac:dyDescent="0.35">
      <c r="A21" s="36">
        <f t="shared" si="0"/>
        <v>2037</v>
      </c>
      <c r="B21" s="36"/>
      <c r="C21" s="36">
        <f t="shared" si="1"/>
        <v>1</v>
      </c>
      <c r="D21" s="93">
        <f>C21*PARAMETERS!$B$9/1000000000</f>
        <v>2.1897810218978103E-12</v>
      </c>
      <c r="E21" s="93">
        <f>D21*PARAMETERS!$B$10</f>
        <v>3.2846715328467152E-14</v>
      </c>
      <c r="F21" s="93">
        <f>BAU!$B$45*1000000000000</f>
        <v>1223264171999652.8</v>
      </c>
      <c r="G21" s="93">
        <f t="shared" si="2"/>
        <v>40.180210029185673</v>
      </c>
      <c r="H21" s="113">
        <f>H20*(1-PARAMETERS!$B$6)</f>
        <v>0.595826043858805</v>
      </c>
      <c r="I21" s="93">
        <f t="shared" si="3"/>
        <v>23.94041558310558</v>
      </c>
      <c r="J21" s="100"/>
      <c r="K21" s="93"/>
      <c r="L21" s="93"/>
      <c r="M21" s="94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R21" s="89"/>
      <c r="AS21" s="89"/>
      <c r="AU21" s="89"/>
    </row>
    <row r="22" spans="1:47" x14ac:dyDescent="0.35">
      <c r="A22" s="36">
        <f t="shared" si="0"/>
        <v>2038</v>
      </c>
      <c r="B22" s="36"/>
      <c r="C22" s="36">
        <f t="shared" si="1"/>
        <v>1</v>
      </c>
      <c r="D22" s="93">
        <f>C22*PARAMETERS!$B$9/1000000000</f>
        <v>2.1897810218978103E-12</v>
      </c>
      <c r="E22" s="93">
        <f>D22*PARAMETERS!$B$10</f>
        <v>3.2846715328467152E-14</v>
      </c>
      <c r="F22" s="93">
        <f>BAU!$B$45*1000000000000</f>
        <v>1223264171999652.8</v>
      </c>
      <c r="G22" s="93">
        <f t="shared" si="2"/>
        <v>40.180210029185673</v>
      </c>
      <c r="H22" s="113">
        <f>H21*(1-PARAMETERS!$B$6)</f>
        <v>0.57795126254304086</v>
      </c>
      <c r="I22" s="93">
        <f t="shared" si="3"/>
        <v>23.222203115612412</v>
      </c>
      <c r="J22" s="100"/>
      <c r="K22" s="93"/>
      <c r="L22" s="93"/>
      <c r="M22" s="94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R22" s="89"/>
      <c r="AS22" s="89"/>
      <c r="AU22" s="89"/>
    </row>
    <row r="23" spans="1:47" x14ac:dyDescent="0.35">
      <c r="A23" s="36">
        <f t="shared" si="0"/>
        <v>2039</v>
      </c>
      <c r="B23" s="36"/>
      <c r="C23" s="36">
        <f t="shared" si="1"/>
        <v>1</v>
      </c>
      <c r="D23" s="93">
        <f>C23*PARAMETERS!$B$9/1000000000</f>
        <v>2.1897810218978103E-12</v>
      </c>
      <c r="E23" s="93">
        <f>D23*PARAMETERS!$B$10</f>
        <v>3.2846715328467152E-14</v>
      </c>
      <c r="F23" s="93">
        <f>BAU!$B$45*1000000000000</f>
        <v>1223264171999652.8</v>
      </c>
      <c r="G23" s="93">
        <f t="shared" si="2"/>
        <v>40.180210029185673</v>
      </c>
      <c r="H23" s="113">
        <f>H22*(1-PARAMETERS!$B$6)</f>
        <v>0.56061272466674961</v>
      </c>
      <c r="I23" s="93">
        <f t="shared" si="3"/>
        <v>22.525537022144039</v>
      </c>
      <c r="J23" s="100"/>
      <c r="K23" s="93"/>
      <c r="L23" s="93"/>
      <c r="M23" s="94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R23" s="89"/>
      <c r="AS23" s="89"/>
      <c r="AU23" s="89"/>
    </row>
    <row r="24" spans="1:47" x14ac:dyDescent="0.35">
      <c r="A24" s="36">
        <f t="shared" si="0"/>
        <v>2040</v>
      </c>
      <c r="B24" s="36"/>
      <c r="C24" s="36">
        <f t="shared" si="1"/>
        <v>1</v>
      </c>
      <c r="D24" s="93">
        <f>C24*PARAMETERS!$B$9/1000000000</f>
        <v>2.1897810218978103E-12</v>
      </c>
      <c r="E24" s="93">
        <f>D24*PARAMETERS!$B$10</f>
        <v>3.2846715328467152E-14</v>
      </c>
      <c r="F24" s="93">
        <f>BAU!$B$45*1000000000000</f>
        <v>1223264171999652.8</v>
      </c>
      <c r="G24" s="93">
        <f t="shared" si="2"/>
        <v>40.180210029185673</v>
      </c>
      <c r="H24" s="113">
        <f>H23*(1-PARAMETERS!$B$6)</f>
        <v>0.54379434292674711</v>
      </c>
      <c r="I24" s="93">
        <f t="shared" si="3"/>
        <v>21.849770911479716</v>
      </c>
      <c r="J24" s="100"/>
      <c r="K24" s="93"/>
      <c r="L24" s="93"/>
      <c r="M24" s="94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R24" s="89"/>
      <c r="AS24" s="89"/>
      <c r="AU24" s="89"/>
    </row>
    <row r="25" spans="1:47" x14ac:dyDescent="0.35">
      <c r="A25" s="36">
        <f t="shared" si="0"/>
        <v>2041</v>
      </c>
      <c r="B25" s="36"/>
      <c r="C25" s="36">
        <f t="shared" si="1"/>
        <v>1</v>
      </c>
      <c r="D25" s="93">
        <f>C25*PARAMETERS!$B$9/1000000000</f>
        <v>2.1897810218978103E-12</v>
      </c>
      <c r="E25" s="93">
        <f>D25*PARAMETERS!$B$10</f>
        <v>3.2846715328467152E-14</v>
      </c>
      <c r="F25" s="93">
        <f>BAU!$B$45*1000000000000</f>
        <v>1223264171999652.8</v>
      </c>
      <c r="G25" s="93">
        <f t="shared" si="2"/>
        <v>40.180210029185673</v>
      </c>
      <c r="H25" s="113">
        <f>H24*(1-PARAMETERS!$B$6)</f>
        <v>0.52748051263894469</v>
      </c>
      <c r="I25" s="93">
        <f t="shared" si="3"/>
        <v>21.194277784135327</v>
      </c>
      <c r="J25" s="100"/>
      <c r="K25" s="93"/>
      <c r="L25" s="93"/>
      <c r="M25" s="94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R25" s="89"/>
      <c r="AS25" s="89"/>
      <c r="AU25" s="89"/>
    </row>
    <row r="26" spans="1:47" x14ac:dyDescent="0.35">
      <c r="A26" s="36">
        <f t="shared" si="0"/>
        <v>2042</v>
      </c>
      <c r="B26" s="36"/>
      <c r="C26" s="36">
        <f t="shared" si="1"/>
        <v>1</v>
      </c>
      <c r="D26" s="93">
        <f>C26*PARAMETERS!$B$9/1000000000</f>
        <v>2.1897810218978103E-12</v>
      </c>
      <c r="E26" s="93">
        <f>D26*PARAMETERS!$B$10</f>
        <v>3.2846715328467152E-14</v>
      </c>
      <c r="F26" s="93">
        <f>BAU!$B$45*1000000000000</f>
        <v>1223264171999652.8</v>
      </c>
      <c r="G26" s="93">
        <f t="shared" si="2"/>
        <v>40.180210029185673</v>
      </c>
      <c r="H26" s="113">
        <f>H25*(1-PARAMETERS!$B$6)</f>
        <v>0.51165609725977634</v>
      </c>
      <c r="I26" s="93">
        <f t="shared" si="3"/>
        <v>20.558449450611267</v>
      </c>
      <c r="J26" s="100"/>
      <c r="K26" s="93"/>
      <c r="L26" s="93"/>
      <c r="M26" s="94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R26" s="89"/>
      <c r="AS26" s="89"/>
      <c r="AU26" s="89"/>
    </row>
    <row r="27" spans="1:47" x14ac:dyDescent="0.35">
      <c r="A27" s="36">
        <f t="shared" si="0"/>
        <v>2043</v>
      </c>
      <c r="B27" s="36"/>
      <c r="C27" s="36">
        <f t="shared" si="1"/>
        <v>1</v>
      </c>
      <c r="D27" s="93">
        <f>C27*PARAMETERS!$B$9/1000000000</f>
        <v>2.1897810218978103E-12</v>
      </c>
      <c r="E27" s="93">
        <f>D27*PARAMETERS!$B$10</f>
        <v>3.2846715328467152E-14</v>
      </c>
      <c r="F27" s="93">
        <f>BAU!$B$45*1000000000000</f>
        <v>1223264171999652.8</v>
      </c>
      <c r="G27" s="93">
        <f t="shared" si="2"/>
        <v>40.180210029185673</v>
      </c>
      <c r="H27" s="113">
        <f>H26*(1-PARAMETERS!$B$6)</f>
        <v>0.49630641434198303</v>
      </c>
      <c r="I27" s="93">
        <f t="shared" si="3"/>
        <v>19.941695967092926</v>
      </c>
      <c r="J27" s="100"/>
      <c r="K27" s="93"/>
      <c r="L27" s="93"/>
      <c r="M27" s="94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R27" s="89"/>
      <c r="AS27" s="89"/>
      <c r="AU27" s="89"/>
    </row>
    <row r="28" spans="1:47" x14ac:dyDescent="0.35">
      <c r="A28" s="36">
        <f t="shared" si="0"/>
        <v>2044</v>
      </c>
      <c r="B28" s="36"/>
      <c r="C28" s="36">
        <f t="shared" si="1"/>
        <v>1</v>
      </c>
      <c r="D28" s="93">
        <f>C28*PARAMETERS!$B$9/1000000000</f>
        <v>2.1897810218978103E-12</v>
      </c>
      <c r="E28" s="93">
        <f>D28*PARAMETERS!$B$10</f>
        <v>3.2846715328467152E-14</v>
      </c>
      <c r="F28" s="93">
        <f>BAU!$B$45*1000000000000</f>
        <v>1223264171999652.8</v>
      </c>
      <c r="G28" s="93">
        <f t="shared" si="2"/>
        <v>40.180210029185673</v>
      </c>
      <c r="H28" s="113">
        <f>H27*(1-PARAMETERS!$B$6)</f>
        <v>0.48141722191172354</v>
      </c>
      <c r="I28" s="93">
        <f t="shared" si="3"/>
        <v>19.343445088080138</v>
      </c>
      <c r="J28" s="100"/>
      <c r="K28" s="93"/>
      <c r="L28" s="93"/>
      <c r="M28" s="94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R28" s="89"/>
      <c r="AS28" s="89"/>
      <c r="AU28" s="89"/>
    </row>
    <row r="29" spans="1:47" x14ac:dyDescent="0.35">
      <c r="A29" s="36">
        <f t="shared" si="0"/>
        <v>2045</v>
      </c>
      <c r="B29" s="36"/>
      <c r="C29" s="36">
        <f t="shared" si="1"/>
        <v>1</v>
      </c>
      <c r="D29" s="93">
        <f>C29*PARAMETERS!$B$9/1000000000</f>
        <v>2.1897810218978103E-12</v>
      </c>
      <c r="E29" s="93">
        <f>D29*PARAMETERS!$B$10</f>
        <v>3.2846715328467152E-14</v>
      </c>
      <c r="F29" s="93">
        <f>BAU!$B$45*1000000000000</f>
        <v>1223264171999652.8</v>
      </c>
      <c r="G29" s="93">
        <f t="shared" si="2"/>
        <v>40.180210029185673</v>
      </c>
      <c r="H29" s="113">
        <f>H28*(1-PARAMETERS!$B$6)</f>
        <v>0.46697470525437179</v>
      </c>
      <c r="I29" s="93">
        <f t="shared" si="3"/>
        <v>18.763141735437735</v>
      </c>
      <c r="J29" s="100"/>
      <c r="K29" s="93"/>
      <c r="L29" s="93"/>
      <c r="M29" s="94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R29" s="89"/>
      <c r="AS29" s="89"/>
      <c r="AU29" s="89"/>
    </row>
    <row r="30" spans="1:47" x14ac:dyDescent="0.35">
      <c r="A30" s="36">
        <f t="shared" si="0"/>
        <v>2046</v>
      </c>
      <c r="B30" s="36"/>
      <c r="C30" s="36">
        <f t="shared" si="1"/>
        <v>1</v>
      </c>
      <c r="D30" s="93">
        <f>C30*PARAMETERS!$B$9/1000000000</f>
        <v>2.1897810218978103E-12</v>
      </c>
      <c r="E30" s="93">
        <f>D30*PARAMETERS!$B$10</f>
        <v>3.2846715328467152E-14</v>
      </c>
      <c r="F30" s="93">
        <f>BAU!$B$45*1000000000000</f>
        <v>1223264171999652.8</v>
      </c>
      <c r="G30" s="93">
        <f t="shared" si="2"/>
        <v>40.180210029185673</v>
      </c>
      <c r="H30" s="113">
        <f>H29*(1-PARAMETERS!$B$6)</f>
        <v>0.4529654640967406</v>
      </c>
      <c r="I30" s="93">
        <f t="shared" si="3"/>
        <v>18.2002474833746</v>
      </c>
      <c r="J30" s="100"/>
      <c r="K30" s="93"/>
      <c r="L30" s="93"/>
      <c r="M30" s="94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R30" s="89"/>
      <c r="AS30" s="89"/>
      <c r="AU30" s="89"/>
    </row>
    <row r="31" spans="1:47" x14ac:dyDescent="0.35">
      <c r="A31" s="36">
        <f t="shared" si="0"/>
        <v>2047</v>
      </c>
      <c r="B31" s="36"/>
      <c r="C31" s="36">
        <f t="shared" si="1"/>
        <v>1</v>
      </c>
      <c r="D31" s="93">
        <f>C31*PARAMETERS!$B$9/1000000000</f>
        <v>2.1897810218978103E-12</v>
      </c>
      <c r="E31" s="93">
        <f>D31*PARAMETERS!$B$10</f>
        <v>3.2846715328467152E-14</v>
      </c>
      <c r="F31" s="93">
        <f>BAU!$B$45*1000000000000</f>
        <v>1223264171999652.8</v>
      </c>
      <c r="G31" s="93">
        <f t="shared" si="2"/>
        <v>40.180210029185673</v>
      </c>
      <c r="H31" s="113">
        <f>H30*(1-PARAMETERS!$B$6)</f>
        <v>0.43937650017383839</v>
      </c>
      <c r="I31" s="93">
        <f t="shared" si="3"/>
        <v>17.654240058873363</v>
      </c>
      <c r="J31" s="100"/>
      <c r="K31" s="93"/>
      <c r="L31" s="93"/>
      <c r="M31" s="94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R31" s="89"/>
      <c r="AS31" s="89"/>
      <c r="AU31" s="89"/>
    </row>
    <row r="32" spans="1:47" x14ac:dyDescent="0.35">
      <c r="A32" s="36">
        <f t="shared" si="0"/>
        <v>2048</v>
      </c>
      <c r="B32" s="36"/>
      <c r="C32" s="36">
        <f t="shared" si="1"/>
        <v>1</v>
      </c>
      <c r="D32" s="93">
        <f>C32*PARAMETERS!$B$9/1000000000</f>
        <v>2.1897810218978103E-12</v>
      </c>
      <c r="E32" s="93">
        <f>D32*PARAMETERS!$B$10</f>
        <v>3.2846715328467152E-14</v>
      </c>
      <c r="F32" s="93">
        <f>BAU!$B$45*1000000000000</f>
        <v>1223264171999652.8</v>
      </c>
      <c r="G32" s="93">
        <f t="shared" si="2"/>
        <v>40.180210029185673</v>
      </c>
      <c r="H32" s="113">
        <f>H31*(1-PARAMETERS!$B$6)</f>
        <v>0.42619520516862325</v>
      </c>
      <c r="I32" s="93">
        <f t="shared" si="3"/>
        <v>17.124612857107163</v>
      </c>
      <c r="J32" s="100"/>
      <c r="K32" s="93"/>
      <c r="L32" s="93"/>
      <c r="M32" s="94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R32" s="89"/>
      <c r="AS32" s="89"/>
      <c r="AU32" s="89"/>
    </row>
    <row r="33" spans="1:47" x14ac:dyDescent="0.35">
      <c r="A33" s="36">
        <f t="shared" si="0"/>
        <v>2049</v>
      </c>
      <c r="B33" s="36"/>
      <c r="C33" s="36">
        <f t="shared" si="1"/>
        <v>1</v>
      </c>
      <c r="D33" s="93">
        <f>C33*PARAMETERS!$B$9/1000000000</f>
        <v>2.1897810218978103E-12</v>
      </c>
      <c r="E33" s="93">
        <f>D33*PARAMETERS!$B$10</f>
        <v>3.2846715328467152E-14</v>
      </c>
      <c r="F33" s="93">
        <f>BAU!$B$45*1000000000000</f>
        <v>1223264171999652.8</v>
      </c>
      <c r="G33" s="93">
        <f t="shared" si="2"/>
        <v>40.180210029185673</v>
      </c>
      <c r="H33" s="113">
        <f>H32*(1-PARAMETERS!$B$6)</f>
        <v>0.41340934901356452</v>
      </c>
      <c r="I33" s="93">
        <f t="shared" si="3"/>
        <v>16.610874471393945</v>
      </c>
      <c r="J33" s="100"/>
      <c r="K33" s="93"/>
      <c r="L33" s="93"/>
      <c r="M33" s="94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R33" s="89"/>
      <c r="AS33" s="89"/>
      <c r="AU33" s="89"/>
    </row>
    <row r="34" spans="1:47" x14ac:dyDescent="0.35">
      <c r="A34" s="36">
        <f t="shared" si="0"/>
        <v>2050</v>
      </c>
      <c r="B34" s="36"/>
      <c r="C34" s="36">
        <f t="shared" si="1"/>
        <v>1</v>
      </c>
      <c r="D34" s="93">
        <f>C34*PARAMETERS!$B$9/1000000000</f>
        <v>2.1897810218978103E-12</v>
      </c>
      <c r="E34" s="93">
        <f>D34*PARAMETERS!$B$10</f>
        <v>3.2846715328467152E-14</v>
      </c>
      <c r="F34" s="93">
        <f>BAU!$B$45*1000000000000</f>
        <v>1223264171999652.8</v>
      </c>
      <c r="G34" s="93">
        <f t="shared" si="2"/>
        <v>40.180210029185673</v>
      </c>
      <c r="H34" s="113">
        <f>H33*(1-PARAMETERS!$B$6)</f>
        <v>0.4010070685431576</v>
      </c>
      <c r="I34" s="93">
        <f t="shared" si="3"/>
        <v>16.112548237252128</v>
      </c>
      <c r="J34" s="101"/>
      <c r="K34" s="94"/>
      <c r="L34" s="94"/>
      <c r="M34" s="94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R34" s="89"/>
      <c r="AS34" s="89"/>
      <c r="AU34" s="89"/>
    </row>
    <row r="35" spans="1:47" x14ac:dyDescent="0.35">
      <c r="A35" s="36">
        <f t="shared" si="0"/>
        <v>2051</v>
      </c>
      <c r="B35" s="36"/>
      <c r="C35" s="36">
        <f t="shared" si="1"/>
        <v>1</v>
      </c>
      <c r="D35" s="93">
        <f>C35*PARAMETERS!$B$9/1000000000</f>
        <v>2.1897810218978103E-12</v>
      </c>
      <c r="E35" s="93">
        <f>D35*PARAMETERS!$B$10</f>
        <v>3.2846715328467152E-14</v>
      </c>
      <c r="F35" s="93">
        <f>BAU!$B$45*1000000000000</f>
        <v>1223264171999652.8</v>
      </c>
      <c r="G35" s="93">
        <f t="shared" si="2"/>
        <v>40.180210029185673</v>
      </c>
      <c r="H35" s="113">
        <f>H34*(1-PARAMETERS!$B$6)</f>
        <v>0.38897685648686287</v>
      </c>
      <c r="I35" s="93">
        <f t="shared" si="3"/>
        <v>15.629171790134563</v>
      </c>
      <c r="J35" s="100"/>
      <c r="K35" s="93"/>
      <c r="L35" s="93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R35" s="89"/>
      <c r="AS35" s="89"/>
      <c r="AU35" s="89"/>
    </row>
    <row r="36" spans="1:47" x14ac:dyDescent="0.35">
      <c r="A36" s="36">
        <f t="shared" si="0"/>
        <v>2052</v>
      </c>
      <c r="B36" s="36"/>
      <c r="C36" s="36">
        <f t="shared" si="1"/>
        <v>1</v>
      </c>
      <c r="D36" s="93">
        <f>C36*PARAMETERS!$B$9/1000000000</f>
        <v>2.1897810218978103E-12</v>
      </c>
      <c r="E36" s="93">
        <f>D36*PARAMETERS!$B$10</f>
        <v>3.2846715328467152E-14</v>
      </c>
      <c r="F36" s="93">
        <f>BAU!$B$45*1000000000000</f>
        <v>1223264171999652.8</v>
      </c>
      <c r="G36" s="93">
        <f t="shared" si="2"/>
        <v>40.180210029185673</v>
      </c>
      <c r="H36" s="113">
        <f>H35*(1-PARAMETERS!$B$6)</f>
        <v>0.37730755079225697</v>
      </c>
      <c r="I36" s="93">
        <f t="shared" si="3"/>
        <v>15.160296636430527</v>
      </c>
      <c r="J36" s="100"/>
      <c r="K36" s="93"/>
      <c r="L36" s="93"/>
      <c r="M36" s="94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R36" s="89"/>
      <c r="AS36" s="89"/>
      <c r="AU36" s="89"/>
    </row>
    <row r="37" spans="1:47" x14ac:dyDescent="0.35">
      <c r="A37" s="36">
        <f t="shared" si="0"/>
        <v>2053</v>
      </c>
      <c r="B37" s="36"/>
      <c r="C37" s="36">
        <f t="shared" si="1"/>
        <v>1</v>
      </c>
      <c r="D37" s="93">
        <f>C37*PARAMETERS!$B$9/1000000000</f>
        <v>2.1897810218978103E-12</v>
      </c>
      <c r="E37" s="93">
        <f>D37*PARAMETERS!$B$10</f>
        <v>3.2846715328467152E-14</v>
      </c>
      <c r="F37" s="93">
        <f>BAU!$B$45*1000000000000</f>
        <v>1223264171999652.8</v>
      </c>
      <c r="G37" s="93">
        <f t="shared" si="2"/>
        <v>40.180210029185673</v>
      </c>
      <c r="H37" s="113">
        <f>H36*(1-PARAMETERS!$B$6)</f>
        <v>0.36598832426848926</v>
      </c>
      <c r="I37" s="93">
        <f t="shared" si="3"/>
        <v>14.705487737337611</v>
      </c>
      <c r="J37" s="100"/>
      <c r="K37" s="93"/>
      <c r="L37" s="93"/>
      <c r="M37" s="94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R37" s="89"/>
      <c r="AS37" s="89"/>
      <c r="AU37" s="89"/>
    </row>
    <row r="38" spans="1:47" x14ac:dyDescent="0.35">
      <c r="A38" s="36">
        <f t="shared" si="0"/>
        <v>2054</v>
      </c>
      <c r="B38" s="36"/>
      <c r="C38" s="36">
        <f t="shared" si="1"/>
        <v>1</v>
      </c>
      <c r="D38" s="93">
        <f>C38*PARAMETERS!$B$9/1000000000</f>
        <v>2.1897810218978103E-12</v>
      </c>
      <c r="E38" s="93">
        <f>D38*PARAMETERS!$B$10</f>
        <v>3.2846715328467152E-14</v>
      </c>
      <c r="F38" s="93">
        <f>BAU!$B$45*1000000000000</f>
        <v>1223264171999652.8</v>
      </c>
      <c r="G38" s="93">
        <f t="shared" si="2"/>
        <v>40.180210029185673</v>
      </c>
      <c r="H38" s="113">
        <f>H37*(1-PARAMETERS!$B$6)</f>
        <v>0.35500867454043455</v>
      </c>
      <c r="I38" s="93">
        <f t="shared" si="3"/>
        <v>14.264323105217482</v>
      </c>
      <c r="J38" s="100"/>
      <c r="K38" s="93"/>
      <c r="L38" s="93"/>
      <c r="M38" s="94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R38" s="89"/>
      <c r="AS38" s="89"/>
      <c r="AU38" s="89"/>
    </row>
    <row r="39" spans="1:47" x14ac:dyDescent="0.35">
      <c r="A39" s="36">
        <f t="shared" si="0"/>
        <v>2055</v>
      </c>
      <c r="B39" s="36"/>
      <c r="C39" s="36">
        <f t="shared" si="1"/>
        <v>1</v>
      </c>
      <c r="D39" s="93">
        <f>C39*PARAMETERS!$B$9/1000000000</f>
        <v>2.1897810218978103E-12</v>
      </c>
      <c r="E39" s="93">
        <f>D39*PARAMETERS!$B$10</f>
        <v>3.2846715328467152E-14</v>
      </c>
      <c r="F39" s="93">
        <f>BAU!$B$45*1000000000000</f>
        <v>1223264171999652.8</v>
      </c>
      <c r="G39" s="93">
        <f t="shared" si="2"/>
        <v>40.180210029185673</v>
      </c>
      <c r="H39" s="113">
        <f>H38*(1-PARAMETERS!$B$6)</f>
        <v>0.34435841430422148</v>
      </c>
      <c r="I39" s="93">
        <f t="shared" si="3"/>
        <v>13.836393412060955</v>
      </c>
      <c r="J39" s="100"/>
      <c r="K39" s="93"/>
      <c r="L39" s="93"/>
      <c r="M39" s="94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R39" s="89"/>
      <c r="AS39" s="89"/>
      <c r="AU39" s="89"/>
    </row>
    <row r="40" spans="1:47" x14ac:dyDescent="0.35">
      <c r="A40" s="36">
        <f t="shared" si="0"/>
        <v>2056</v>
      </c>
      <c r="B40" s="36"/>
      <c r="C40" s="36">
        <f t="shared" si="1"/>
        <v>1</v>
      </c>
      <c r="D40" s="93">
        <f>C40*PARAMETERS!$B$9/1000000000</f>
        <v>2.1897810218978103E-12</v>
      </c>
      <c r="E40" s="93">
        <f>D40*PARAMETERS!$B$10</f>
        <v>3.2846715328467152E-14</v>
      </c>
      <c r="F40" s="93">
        <f>BAU!$B$45*1000000000000</f>
        <v>1223264171999652.8</v>
      </c>
      <c r="G40" s="93">
        <f t="shared" si="2"/>
        <v>40.180210029185673</v>
      </c>
      <c r="H40" s="113">
        <f>H39*(1-PARAMETERS!$B$6)</f>
        <v>0.33402766187509481</v>
      </c>
      <c r="I40" s="93">
        <f t="shared" si="3"/>
        <v>13.421301609699125</v>
      </c>
      <c r="J40" s="100"/>
      <c r="K40" s="93"/>
      <c r="L40" s="93"/>
      <c r="M40" s="94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R40" s="89"/>
      <c r="AS40" s="89"/>
      <c r="AU40" s="89"/>
    </row>
    <row r="41" spans="1:47" x14ac:dyDescent="0.35">
      <c r="A41" s="36">
        <f t="shared" si="0"/>
        <v>2057</v>
      </c>
      <c r="B41" s="36"/>
      <c r="C41" s="36">
        <f t="shared" si="1"/>
        <v>1</v>
      </c>
      <c r="D41" s="93">
        <f>C41*PARAMETERS!$B$9/1000000000</f>
        <v>2.1897810218978103E-12</v>
      </c>
      <c r="E41" s="93">
        <f>D41*PARAMETERS!$B$10</f>
        <v>3.2846715328467152E-14</v>
      </c>
      <c r="F41" s="93">
        <f>BAU!$B$45*1000000000000</f>
        <v>1223264171999652.8</v>
      </c>
      <c r="G41" s="93">
        <f t="shared" si="2"/>
        <v>40.180210029185673</v>
      </c>
      <c r="H41" s="113">
        <f>H40*(1-PARAMETERS!$B$6)</f>
        <v>0.32400683201884195</v>
      </c>
      <c r="I41" s="93">
        <f t="shared" si="3"/>
        <v>13.018662561408151</v>
      </c>
      <c r="J41" s="100"/>
      <c r="K41" s="93"/>
      <c r="L41" s="93"/>
      <c r="M41" s="94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R41" s="89"/>
      <c r="AS41" s="89"/>
      <c r="AU41" s="89"/>
    </row>
    <row r="42" spans="1:47" x14ac:dyDescent="0.35">
      <c r="A42" s="36">
        <f t="shared" si="0"/>
        <v>2058</v>
      </c>
      <c r="B42" s="36"/>
      <c r="C42" s="36">
        <f t="shared" si="1"/>
        <v>1</v>
      </c>
      <c r="D42" s="93">
        <f>C42*PARAMETERS!$B$9/1000000000</f>
        <v>2.1897810218978103E-12</v>
      </c>
      <c r="E42" s="93">
        <f>D42*PARAMETERS!$B$10</f>
        <v>3.2846715328467152E-14</v>
      </c>
      <c r="F42" s="93">
        <f>BAU!$B$45*1000000000000</f>
        <v>1223264171999652.8</v>
      </c>
      <c r="G42" s="93">
        <f t="shared" si="2"/>
        <v>40.180210029185673</v>
      </c>
      <c r="H42" s="113">
        <f>H41*(1-PARAMETERS!$B$6)</f>
        <v>0.3142866270582767</v>
      </c>
      <c r="I42" s="93">
        <f t="shared" si="3"/>
        <v>12.628102684565906</v>
      </c>
      <c r="J42" s="100"/>
      <c r="K42" s="93"/>
      <c r="L42" s="93"/>
      <c r="M42" s="94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R42" s="89"/>
      <c r="AS42" s="89"/>
      <c r="AU42" s="89"/>
    </row>
    <row r="43" spans="1:47" x14ac:dyDescent="0.35">
      <c r="A43" s="36">
        <f t="shared" si="0"/>
        <v>2059</v>
      </c>
      <c r="B43" s="36"/>
      <c r="C43" s="36">
        <f t="shared" si="1"/>
        <v>1</v>
      </c>
      <c r="D43" s="93">
        <f>C43*PARAMETERS!$B$9/1000000000</f>
        <v>2.1897810218978103E-12</v>
      </c>
      <c r="E43" s="93">
        <f>D43*PARAMETERS!$B$10</f>
        <v>3.2846715328467152E-14</v>
      </c>
      <c r="F43" s="93">
        <f>BAU!$B$45*1000000000000</f>
        <v>1223264171999652.8</v>
      </c>
      <c r="G43" s="93">
        <f t="shared" si="2"/>
        <v>40.180210029185673</v>
      </c>
      <c r="H43" s="113">
        <f>H42*(1-PARAMETERS!$B$6)</f>
        <v>0.30485802824652841</v>
      </c>
      <c r="I43" s="93">
        <f t="shared" si="3"/>
        <v>12.24925960402893</v>
      </c>
      <c r="J43" s="100"/>
      <c r="K43" s="93"/>
      <c r="L43" s="93"/>
      <c r="M43" s="94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R43" s="89"/>
      <c r="AS43" s="89"/>
      <c r="AU43" s="89"/>
    </row>
    <row r="44" spans="1:47" x14ac:dyDescent="0.35">
      <c r="A44" s="36">
        <f t="shared" si="0"/>
        <v>2060</v>
      </c>
      <c r="B44" s="36"/>
      <c r="C44" s="36">
        <f t="shared" si="1"/>
        <v>1</v>
      </c>
      <c r="D44" s="93">
        <f>C44*PARAMETERS!$B$9/1000000000</f>
        <v>2.1897810218978103E-12</v>
      </c>
      <c r="E44" s="93">
        <f>D44*PARAMETERS!$B$10</f>
        <v>3.2846715328467152E-14</v>
      </c>
      <c r="F44" s="93">
        <f>BAU!$B$45*1000000000000</f>
        <v>1223264171999652.8</v>
      </c>
      <c r="G44" s="93">
        <f t="shared" si="2"/>
        <v>40.180210029185673</v>
      </c>
      <c r="H44" s="113">
        <f>H43*(1-PARAMETERS!$B$6)</f>
        <v>0.29571228739913258</v>
      </c>
      <c r="I44" s="93">
        <f t="shared" si="3"/>
        <v>11.881781815908063</v>
      </c>
      <c r="J44" s="100"/>
      <c r="K44" s="93"/>
      <c r="L44" s="93"/>
      <c r="M44" s="94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R44" s="89"/>
      <c r="AS44" s="89"/>
      <c r="AU44" s="89"/>
    </row>
    <row r="45" spans="1:47" x14ac:dyDescent="0.35">
      <c r="A45" s="36">
        <f t="shared" si="0"/>
        <v>2061</v>
      </c>
      <c r="B45" s="36"/>
      <c r="C45" s="36">
        <f t="shared" si="1"/>
        <v>1</v>
      </c>
      <c r="D45" s="93">
        <f>C45*PARAMETERS!$B$9/1000000000</f>
        <v>2.1897810218978103E-12</v>
      </c>
      <c r="E45" s="93">
        <f>D45*PARAMETERS!$B$10</f>
        <v>3.2846715328467152E-14</v>
      </c>
      <c r="F45" s="93">
        <f>BAU!$B$45*1000000000000</f>
        <v>1223264171999652.8</v>
      </c>
      <c r="G45" s="93">
        <f t="shared" si="2"/>
        <v>40.180210029185673</v>
      </c>
      <c r="H45" s="113">
        <f>H44*(1-PARAMETERS!$B$6)</f>
        <v>0.28684091877715862</v>
      </c>
      <c r="I45" s="93">
        <f t="shared" si="3"/>
        <v>11.525328361430821</v>
      </c>
      <c r="J45" s="100"/>
      <c r="K45" s="93"/>
      <c r="L45" s="93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R45" s="89"/>
      <c r="AS45" s="89"/>
      <c r="AU45" s="89"/>
    </row>
    <row r="46" spans="1:47" x14ac:dyDescent="0.35">
      <c r="A46" s="36">
        <f t="shared" si="0"/>
        <v>2062</v>
      </c>
      <c r="B46" s="36"/>
      <c r="C46" s="36">
        <f t="shared" si="1"/>
        <v>1</v>
      </c>
      <c r="D46" s="93">
        <f>C46*PARAMETERS!$B$9/1000000000</f>
        <v>2.1897810218978103E-12</v>
      </c>
      <c r="E46" s="93">
        <f>D46*PARAMETERS!$B$10</f>
        <v>3.2846715328467152E-14</v>
      </c>
      <c r="F46" s="93">
        <f>BAU!$B$45*1000000000000</f>
        <v>1223264171999652.8</v>
      </c>
      <c r="G46" s="93">
        <f t="shared" si="2"/>
        <v>40.180210029185673</v>
      </c>
      <c r="H46" s="113">
        <f>H45*(1-PARAMETERS!$B$6)</f>
        <v>0.27823569121384384</v>
      </c>
      <c r="I46" s="93">
        <f t="shared" si="3"/>
        <v>11.179568510587897</v>
      </c>
      <c r="J46" s="100"/>
      <c r="K46" s="93"/>
      <c r="L46" s="93"/>
      <c r="M46" s="94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R46" s="89"/>
      <c r="AS46" s="89"/>
      <c r="AU46" s="89"/>
    </row>
    <row r="47" spans="1:47" x14ac:dyDescent="0.35">
      <c r="A47" s="36">
        <f t="shared" si="0"/>
        <v>2063</v>
      </c>
      <c r="B47" s="36"/>
      <c r="C47" s="36">
        <f t="shared" si="1"/>
        <v>1</v>
      </c>
      <c r="D47" s="93">
        <f>C47*PARAMETERS!$B$9/1000000000</f>
        <v>2.1897810218978103E-12</v>
      </c>
      <c r="E47" s="93">
        <f>D47*PARAMETERS!$B$10</f>
        <v>3.2846715328467152E-14</v>
      </c>
      <c r="F47" s="93">
        <f>BAU!$B$45*1000000000000</f>
        <v>1223264171999652.8</v>
      </c>
      <c r="G47" s="93">
        <f t="shared" si="2"/>
        <v>40.180210029185673</v>
      </c>
      <c r="H47" s="113">
        <f>H46*(1-PARAMETERS!$B$6)</f>
        <v>0.26988862047742851</v>
      </c>
      <c r="I47" s="93">
        <f t="shared" si="3"/>
        <v>10.84418145527026</v>
      </c>
      <c r="J47" s="100"/>
      <c r="K47" s="93"/>
      <c r="L47" s="93"/>
      <c r="M47" s="94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R47" s="89"/>
      <c r="AS47" s="89"/>
      <c r="AU47" s="89"/>
    </row>
    <row r="48" spans="1:47" x14ac:dyDescent="0.35">
      <c r="A48" s="36">
        <f t="shared" si="0"/>
        <v>2064</v>
      </c>
      <c r="B48" s="36"/>
      <c r="C48" s="36">
        <f t="shared" si="1"/>
        <v>1</v>
      </c>
      <c r="D48" s="93">
        <f>C48*PARAMETERS!$B$9/1000000000</f>
        <v>2.1897810218978103E-12</v>
      </c>
      <c r="E48" s="93">
        <f>D48*PARAMETERS!$B$10</f>
        <v>3.2846715328467152E-14</v>
      </c>
      <c r="F48" s="93">
        <f>BAU!$B$45*1000000000000</f>
        <v>1223264171999652.8</v>
      </c>
      <c r="G48" s="93">
        <f t="shared" si="2"/>
        <v>40.180210029185673</v>
      </c>
      <c r="H48" s="113">
        <f>H47*(1-PARAMETERS!$B$6)</f>
        <v>0.26179196186310566</v>
      </c>
      <c r="I48" s="93">
        <f t="shared" si="3"/>
        <v>10.518856011612151</v>
      </c>
      <c r="J48" s="100"/>
      <c r="K48" s="93"/>
      <c r="L48" s="93"/>
      <c r="M48" s="94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R48" s="89"/>
      <c r="AS48" s="89"/>
      <c r="AU48" s="89"/>
    </row>
    <row r="49" spans="1:47" x14ac:dyDescent="0.35">
      <c r="A49" s="36">
        <f t="shared" si="0"/>
        <v>2065</v>
      </c>
      <c r="B49" s="36"/>
      <c r="C49" s="36">
        <f t="shared" si="1"/>
        <v>1</v>
      </c>
      <c r="D49" s="93">
        <f>C49*PARAMETERS!$B$9/1000000000</f>
        <v>2.1897810218978103E-12</v>
      </c>
      <c r="E49" s="93">
        <f>D49*PARAMETERS!$B$10</f>
        <v>3.2846715328467152E-14</v>
      </c>
      <c r="F49" s="93">
        <f>BAU!$B$45*1000000000000</f>
        <v>1223264171999652.8</v>
      </c>
      <c r="G49" s="93">
        <f t="shared" si="2"/>
        <v>40.180210029185673</v>
      </c>
      <c r="H49" s="113">
        <f>H48*(1-PARAMETERS!$B$6)</f>
        <v>0.25393820300721248</v>
      </c>
      <c r="I49" s="93">
        <f t="shared" si="3"/>
        <v>10.203290331263787</v>
      </c>
      <c r="J49" s="100"/>
      <c r="K49" s="93"/>
      <c r="L49" s="93"/>
      <c r="M49" s="94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R49" s="89"/>
      <c r="AS49" s="89"/>
      <c r="AU49" s="89"/>
    </row>
    <row r="50" spans="1:47" x14ac:dyDescent="0.35">
      <c r="A50" s="36">
        <f t="shared" si="0"/>
        <v>2066</v>
      </c>
      <c r="B50" s="36"/>
      <c r="C50" s="36">
        <f t="shared" si="1"/>
        <v>1</v>
      </c>
      <c r="D50" s="93">
        <f>C50*PARAMETERS!$B$9/1000000000</f>
        <v>2.1897810218978103E-12</v>
      </c>
      <c r="E50" s="93">
        <f>D50*PARAMETERS!$B$10</f>
        <v>3.2846715328467152E-14</v>
      </c>
      <c r="F50" s="93">
        <f>BAU!$B$45*1000000000000</f>
        <v>1223264171999652.8</v>
      </c>
      <c r="G50" s="93">
        <f t="shared" si="2"/>
        <v>40.180210029185673</v>
      </c>
      <c r="H50" s="113">
        <f>H49*(1-PARAMETERS!$B$6)</f>
        <v>0.2463200569169961</v>
      </c>
      <c r="I50" s="93">
        <f t="shared" si="3"/>
        <v>9.8971916213258719</v>
      </c>
      <c r="J50" s="100"/>
      <c r="K50" s="93"/>
      <c r="L50" s="93"/>
      <c r="M50" s="94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R50" s="89"/>
      <c r="AS50" s="89"/>
      <c r="AU50" s="89"/>
    </row>
    <row r="51" spans="1:47" x14ac:dyDescent="0.35">
      <c r="A51" s="36">
        <f t="shared" si="0"/>
        <v>2067</v>
      </c>
      <c r="B51" s="36"/>
      <c r="C51" s="36">
        <f t="shared" si="1"/>
        <v>1</v>
      </c>
      <c r="D51" s="93">
        <f>C51*PARAMETERS!$B$9/1000000000</f>
        <v>2.1897810218978103E-12</v>
      </c>
      <c r="E51" s="93">
        <f>D51*PARAMETERS!$B$10</f>
        <v>3.2846715328467152E-14</v>
      </c>
      <c r="F51" s="93">
        <f>BAU!$B$45*1000000000000</f>
        <v>1223264171999652.8</v>
      </c>
      <c r="G51" s="93">
        <f t="shared" si="2"/>
        <v>40.180210029185673</v>
      </c>
      <c r="H51" s="113">
        <f>H50*(1-PARAMETERS!$B$6)</f>
        <v>0.23893045520948622</v>
      </c>
      <c r="I51" s="93">
        <f t="shared" si="3"/>
        <v>9.6002758726860957</v>
      </c>
      <c r="J51" s="100"/>
      <c r="K51" s="93"/>
      <c r="L51" s="93"/>
      <c r="M51" s="94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R51" s="89"/>
      <c r="AS51" s="89"/>
      <c r="AU51" s="89"/>
    </row>
    <row r="52" spans="1:47" x14ac:dyDescent="0.35">
      <c r="A52" s="36">
        <f t="shared" si="0"/>
        <v>2068</v>
      </c>
      <c r="B52" s="36"/>
      <c r="C52" s="36">
        <f t="shared" si="1"/>
        <v>1</v>
      </c>
      <c r="D52" s="93">
        <f>C52*PARAMETERS!$B$9/1000000000</f>
        <v>2.1897810218978103E-12</v>
      </c>
      <c r="E52" s="93">
        <f>D52*PARAMETERS!$B$10</f>
        <v>3.2846715328467152E-14</v>
      </c>
      <c r="F52" s="93">
        <f>BAU!$B$45*1000000000000</f>
        <v>1223264171999652.8</v>
      </c>
      <c r="G52" s="93">
        <f t="shared" si="2"/>
        <v>40.180210029185673</v>
      </c>
      <c r="H52" s="113">
        <f>H51*(1-PARAMETERS!$B$6)</f>
        <v>0.23176254155320164</v>
      </c>
      <c r="I52" s="93">
        <f t="shared" si="3"/>
        <v>9.3122675965055137</v>
      </c>
      <c r="J52" s="100"/>
      <c r="K52" s="93"/>
      <c r="L52" s="93"/>
      <c r="M52" s="94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R52" s="89"/>
      <c r="AS52" s="89"/>
      <c r="AU52" s="89"/>
    </row>
    <row r="53" spans="1:47" x14ac:dyDescent="0.35">
      <c r="A53" s="36">
        <f t="shared" si="0"/>
        <v>2069</v>
      </c>
      <c r="B53" s="36"/>
      <c r="C53" s="36">
        <f t="shared" si="1"/>
        <v>1</v>
      </c>
      <c r="D53" s="93">
        <f>C53*PARAMETERS!$B$9/1000000000</f>
        <v>2.1897810218978103E-12</v>
      </c>
      <c r="E53" s="93">
        <f>D53*PARAMETERS!$B$10</f>
        <v>3.2846715328467152E-14</v>
      </c>
      <c r="F53" s="93">
        <f>BAU!$B$45*1000000000000</f>
        <v>1223264171999652.8</v>
      </c>
      <c r="G53" s="93">
        <f t="shared" si="2"/>
        <v>40.180210029185673</v>
      </c>
      <c r="H53" s="113">
        <f>H52*(1-PARAMETERS!$B$6)</f>
        <v>0.22480966530660559</v>
      </c>
      <c r="I53" s="93">
        <f t="shared" si="3"/>
        <v>9.0328995686103486</v>
      </c>
      <c r="J53" s="100"/>
      <c r="K53" s="93"/>
      <c r="L53" s="93"/>
      <c r="M53" s="94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R53" s="89"/>
      <c r="AS53" s="89"/>
      <c r="AU53" s="89"/>
    </row>
    <row r="54" spans="1:47" x14ac:dyDescent="0.35">
      <c r="A54" s="36">
        <f t="shared" si="0"/>
        <v>2070</v>
      </c>
      <c r="B54" s="36"/>
      <c r="C54" s="36">
        <f t="shared" si="1"/>
        <v>1</v>
      </c>
      <c r="D54" s="93">
        <f>C54*PARAMETERS!$B$9/1000000000</f>
        <v>2.1897810218978103E-12</v>
      </c>
      <c r="E54" s="93">
        <f>D54*PARAMETERS!$B$10</f>
        <v>3.2846715328467152E-14</v>
      </c>
      <c r="F54" s="93">
        <f>BAU!$B$45*1000000000000</f>
        <v>1223264171999652.8</v>
      </c>
      <c r="G54" s="93">
        <f t="shared" si="2"/>
        <v>40.180210029185673</v>
      </c>
      <c r="H54" s="113">
        <f>H53*(1-PARAMETERS!$B$6)</f>
        <v>0.21806537534740741</v>
      </c>
      <c r="I54" s="93">
        <f t="shared" si="3"/>
        <v>8.7619125815520373</v>
      </c>
      <c r="J54" s="100"/>
      <c r="K54" s="93"/>
      <c r="L54" s="93"/>
      <c r="M54" s="94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R54" s="89"/>
      <c r="AS54" s="89"/>
      <c r="AU54" s="89"/>
    </row>
    <row r="55" spans="1:47" x14ac:dyDescent="0.35">
      <c r="A55" s="36">
        <f t="shared" si="0"/>
        <v>2071</v>
      </c>
      <c r="B55" s="36"/>
      <c r="C55" s="36">
        <f t="shared" si="1"/>
        <v>1</v>
      </c>
      <c r="D55" s="93">
        <f>C55*PARAMETERS!$B$9/1000000000</f>
        <v>2.1897810218978103E-12</v>
      </c>
      <c r="E55" s="93">
        <f>D55*PARAMETERS!$B$10</f>
        <v>3.2846715328467152E-14</v>
      </c>
      <c r="F55" s="93">
        <f>BAU!$B$45*1000000000000</f>
        <v>1223264171999652.8</v>
      </c>
      <c r="G55" s="93">
        <f t="shared" si="2"/>
        <v>40.180210029185673</v>
      </c>
      <c r="H55" s="113">
        <f>H54*(1-PARAMETERS!$B$6)</f>
        <v>0.21152341408698519</v>
      </c>
      <c r="I55" s="93">
        <f t="shared" si="3"/>
        <v>8.4990552041054759</v>
      </c>
      <c r="J55" s="100"/>
      <c r="K55" s="93"/>
      <c r="L55" s="93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R55" s="89"/>
      <c r="AS55" s="89"/>
      <c r="AU55" s="89"/>
    </row>
    <row r="56" spans="1:47" x14ac:dyDescent="0.35">
      <c r="A56" s="36">
        <f t="shared" si="0"/>
        <v>2072</v>
      </c>
      <c r="B56" s="36"/>
      <c r="C56" s="36">
        <f t="shared" si="1"/>
        <v>1</v>
      </c>
      <c r="D56" s="93">
        <f>C56*PARAMETERS!$B$9/1000000000</f>
        <v>2.1897810218978103E-12</v>
      </c>
      <c r="E56" s="93">
        <f>D56*PARAMETERS!$B$10</f>
        <v>3.2846715328467152E-14</v>
      </c>
      <c r="F56" s="93">
        <f>BAU!$B$45*1000000000000</f>
        <v>1223264171999652.8</v>
      </c>
      <c r="G56" s="93">
        <f t="shared" si="2"/>
        <v>40.180210029185673</v>
      </c>
      <c r="H56" s="113">
        <f>H55*(1-PARAMETERS!$B$6)</f>
        <v>0.20517771166437562</v>
      </c>
      <c r="I56" s="93">
        <f t="shared" si="3"/>
        <v>8.2440835479823118</v>
      </c>
      <c r="J56" s="100"/>
      <c r="K56" s="93"/>
      <c r="L56" s="93"/>
      <c r="M56" s="94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R56" s="89"/>
      <c r="AS56" s="89"/>
      <c r="AU56" s="89"/>
    </row>
    <row r="57" spans="1:47" x14ac:dyDescent="0.35">
      <c r="A57" s="36">
        <f t="shared" si="0"/>
        <v>2073</v>
      </c>
      <c r="B57" s="36"/>
      <c r="C57" s="36">
        <f t="shared" si="1"/>
        <v>1</v>
      </c>
      <c r="D57" s="93">
        <f>C57*PARAMETERS!$B$9/1000000000</f>
        <v>2.1897810218978103E-12</v>
      </c>
      <c r="E57" s="93">
        <f>D57*PARAMETERS!$B$10</f>
        <v>3.2846715328467152E-14</v>
      </c>
      <c r="F57" s="93">
        <f>BAU!$B$45*1000000000000</f>
        <v>1223264171999652.8</v>
      </c>
      <c r="G57" s="93">
        <f t="shared" si="2"/>
        <v>40.180210029185673</v>
      </c>
      <c r="H57" s="113">
        <f>H56*(1-PARAMETERS!$B$6)</f>
        <v>0.19902238031444436</v>
      </c>
      <c r="I57" s="93">
        <f t="shared" si="3"/>
        <v>7.9967610415428423</v>
      </c>
      <c r="J57" s="100"/>
      <c r="K57" s="93"/>
      <c r="L57" s="93"/>
      <c r="M57" s="94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R57" s="89"/>
      <c r="AS57" s="89"/>
      <c r="AU57" s="89"/>
    </row>
    <row r="58" spans="1:47" x14ac:dyDescent="0.35">
      <c r="A58" s="36">
        <f t="shared" si="0"/>
        <v>2074</v>
      </c>
      <c r="B58" s="36"/>
      <c r="C58" s="36">
        <f t="shared" si="1"/>
        <v>1</v>
      </c>
      <c r="D58" s="93">
        <f>C58*PARAMETERS!$B$9/1000000000</f>
        <v>2.1897810218978103E-12</v>
      </c>
      <c r="E58" s="93">
        <f>D58*PARAMETERS!$B$10</f>
        <v>3.2846715328467152E-14</v>
      </c>
      <c r="F58" s="93">
        <f>BAU!$B$45*1000000000000</f>
        <v>1223264171999652.8</v>
      </c>
      <c r="G58" s="93">
        <f t="shared" si="2"/>
        <v>40.180210029185673</v>
      </c>
      <c r="H58" s="113">
        <f>H57*(1-PARAMETERS!$B$6)</f>
        <v>0.19305170890501103</v>
      </c>
      <c r="I58" s="93">
        <f t="shared" si="3"/>
        <v>7.7568582102965573</v>
      </c>
      <c r="J58" s="100"/>
      <c r="K58" s="93"/>
      <c r="L58" s="93"/>
      <c r="M58" s="94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R58" s="89"/>
      <c r="AS58" s="89"/>
      <c r="AU58" s="89"/>
    </row>
    <row r="59" spans="1:47" x14ac:dyDescent="0.35">
      <c r="A59" s="36">
        <f t="shared" si="0"/>
        <v>2075</v>
      </c>
      <c r="B59" s="36"/>
      <c r="C59" s="36">
        <f t="shared" si="1"/>
        <v>1</v>
      </c>
      <c r="D59" s="93">
        <f>C59*PARAMETERS!$B$9/1000000000</f>
        <v>2.1897810218978103E-12</v>
      </c>
      <c r="E59" s="93">
        <f>D59*PARAMETERS!$B$10</f>
        <v>3.2846715328467152E-14</v>
      </c>
      <c r="F59" s="93">
        <f>BAU!$B$45*1000000000000</f>
        <v>1223264171999652.8</v>
      </c>
      <c r="G59" s="93">
        <f t="shared" si="2"/>
        <v>40.180210029185673</v>
      </c>
      <c r="H59" s="113">
        <f>H58*(1-PARAMETERS!$B$6)</f>
        <v>0.18726015763786069</v>
      </c>
      <c r="I59" s="93">
        <f t="shared" si="3"/>
        <v>7.5241524639876607</v>
      </c>
      <c r="J59" s="100"/>
      <c r="K59" s="93"/>
      <c r="L59" s="93"/>
      <c r="M59" s="94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R59" s="89"/>
      <c r="AS59" s="89"/>
      <c r="AU59" s="89"/>
    </row>
    <row r="60" spans="1:47" x14ac:dyDescent="0.35">
      <c r="A60" s="36">
        <f t="shared" si="0"/>
        <v>2076</v>
      </c>
      <c r="B60" s="36"/>
      <c r="C60" s="36">
        <f t="shared" si="1"/>
        <v>1</v>
      </c>
      <c r="D60" s="93">
        <f>C60*PARAMETERS!$B$9/1000000000</f>
        <v>2.1897810218978103E-12</v>
      </c>
      <c r="E60" s="93">
        <f>D60*PARAMETERS!$B$10</f>
        <v>3.2846715328467152E-14</v>
      </c>
      <c r="F60" s="93">
        <f>BAU!$B$45*1000000000000</f>
        <v>1223264171999652.8</v>
      </c>
      <c r="G60" s="93">
        <f t="shared" si="2"/>
        <v>40.180210029185673</v>
      </c>
      <c r="H60" s="113">
        <f>H59*(1-PARAMETERS!$B$6)</f>
        <v>0.18164235290872485</v>
      </c>
      <c r="I60" s="93">
        <f t="shared" si="3"/>
        <v>7.2984278900680302</v>
      </c>
      <c r="J60" s="100"/>
      <c r="K60" s="93"/>
      <c r="L60" s="93"/>
      <c r="M60" s="94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R60" s="89"/>
      <c r="AS60" s="89"/>
      <c r="AU60" s="89"/>
    </row>
    <row r="61" spans="1:47" x14ac:dyDescent="0.35">
      <c r="A61" s="36">
        <f t="shared" si="0"/>
        <v>2077</v>
      </c>
      <c r="B61" s="36"/>
      <c r="C61" s="36">
        <f t="shared" si="1"/>
        <v>1</v>
      </c>
      <c r="D61" s="93">
        <f>C61*PARAMETERS!$B$9/1000000000</f>
        <v>2.1897810218978103E-12</v>
      </c>
      <c r="E61" s="93">
        <f>D61*PARAMETERS!$B$10</f>
        <v>3.2846715328467152E-14</v>
      </c>
      <c r="F61" s="93">
        <f>BAU!$B$45*1000000000000</f>
        <v>1223264171999652.8</v>
      </c>
      <c r="G61" s="93">
        <f t="shared" si="2"/>
        <v>40.180210029185673</v>
      </c>
      <c r="H61" s="113">
        <f>H60*(1-PARAMETERS!$B$6)</f>
        <v>0.17619308232146311</v>
      </c>
      <c r="I61" s="93">
        <f t="shared" si="3"/>
        <v>7.0794750533659885</v>
      </c>
      <c r="J61" s="100"/>
      <c r="K61" s="93"/>
      <c r="L61" s="93"/>
      <c r="M61" s="94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R61" s="89"/>
      <c r="AS61" s="89"/>
      <c r="AU61" s="89"/>
    </row>
    <row r="62" spans="1:47" x14ac:dyDescent="0.35">
      <c r="A62" s="36">
        <f t="shared" si="0"/>
        <v>2078</v>
      </c>
      <c r="B62" s="36"/>
      <c r="C62" s="36">
        <f t="shared" si="1"/>
        <v>1</v>
      </c>
      <c r="D62" s="93">
        <f>C62*PARAMETERS!$B$9/1000000000</f>
        <v>2.1897810218978103E-12</v>
      </c>
      <c r="E62" s="93">
        <f>D62*PARAMETERS!$B$10</f>
        <v>3.2846715328467152E-14</v>
      </c>
      <c r="F62" s="93">
        <f>BAU!$B$45*1000000000000</f>
        <v>1223264171999652.8</v>
      </c>
      <c r="G62" s="93">
        <f t="shared" si="2"/>
        <v>40.180210029185673</v>
      </c>
      <c r="H62" s="113">
        <f>H61*(1-PARAMETERS!$B$6)</f>
        <v>0.17090728985181922</v>
      </c>
      <c r="I62" s="93">
        <f t="shared" si="3"/>
        <v>6.8670908017650092</v>
      </c>
      <c r="J62" s="100"/>
      <c r="K62" s="93"/>
      <c r="L62" s="93"/>
      <c r="M62" s="94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R62" s="89"/>
      <c r="AS62" s="89"/>
      <c r="AU62" s="89"/>
    </row>
    <row r="63" spans="1:47" x14ac:dyDescent="0.35">
      <c r="A63" s="36">
        <f t="shared" si="0"/>
        <v>2079</v>
      </c>
      <c r="B63" s="36"/>
      <c r="C63" s="36">
        <f t="shared" si="1"/>
        <v>1</v>
      </c>
      <c r="D63" s="93">
        <f>C63*PARAMETERS!$B$9/1000000000</f>
        <v>2.1897810218978103E-12</v>
      </c>
      <c r="E63" s="93">
        <f>D63*PARAMETERS!$B$10</f>
        <v>3.2846715328467152E-14</v>
      </c>
      <c r="F63" s="93">
        <f>BAU!$B$45*1000000000000</f>
        <v>1223264171999652.8</v>
      </c>
      <c r="G63" s="93">
        <f t="shared" si="2"/>
        <v>40.180210029185673</v>
      </c>
      <c r="H63" s="113">
        <f>H62*(1-PARAMETERS!$B$6)</f>
        <v>0.16578007115626464</v>
      </c>
      <c r="I63" s="93">
        <f t="shared" si="3"/>
        <v>6.6610780777120588</v>
      </c>
      <c r="J63" s="100"/>
      <c r="K63" s="93"/>
      <c r="L63" s="93"/>
      <c r="M63" s="94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R63" s="89"/>
      <c r="AS63" s="89"/>
      <c r="AU63" s="89"/>
    </row>
    <row r="64" spans="1:47" x14ac:dyDescent="0.35">
      <c r="A64" s="36">
        <f t="shared" si="0"/>
        <v>2080</v>
      </c>
      <c r="B64" s="36"/>
      <c r="C64" s="36">
        <f t="shared" si="1"/>
        <v>1</v>
      </c>
      <c r="D64" s="93">
        <f>C64*PARAMETERS!$B$9/1000000000</f>
        <v>2.1897810218978103E-12</v>
      </c>
      <c r="E64" s="93">
        <f>D64*PARAMETERS!$B$10</f>
        <v>3.2846715328467152E-14</v>
      </c>
      <c r="F64" s="93">
        <f>BAU!$B$45*1000000000000</f>
        <v>1223264171999652.8</v>
      </c>
      <c r="G64" s="93">
        <f t="shared" si="2"/>
        <v>40.180210029185673</v>
      </c>
      <c r="H64" s="113">
        <f>H63*(1-PARAMETERS!$B$6)</f>
        <v>0.1608066690215767</v>
      </c>
      <c r="I64" s="93">
        <f t="shared" si="3"/>
        <v>6.4612457353806976</v>
      </c>
      <c r="J64" s="100"/>
      <c r="K64" s="93"/>
      <c r="L64" s="93"/>
      <c r="M64" s="94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R64" s="89"/>
      <c r="AS64" s="89"/>
      <c r="AU64" s="89"/>
    </row>
    <row r="65" spans="1:47" x14ac:dyDescent="0.35">
      <c r="A65" s="36">
        <f t="shared" si="0"/>
        <v>2081</v>
      </c>
      <c r="B65" s="36"/>
      <c r="C65" s="36">
        <f t="shared" si="1"/>
        <v>1</v>
      </c>
      <c r="D65" s="93">
        <f>C65*PARAMETERS!$B$9/1000000000</f>
        <v>2.1897810218978103E-12</v>
      </c>
      <c r="E65" s="93">
        <f>D65*PARAMETERS!$B$10</f>
        <v>3.2846715328467152E-14</v>
      </c>
      <c r="F65" s="93">
        <f>BAU!$B$45*1000000000000</f>
        <v>1223264171999652.8</v>
      </c>
      <c r="G65" s="93">
        <f t="shared" si="2"/>
        <v>40.180210029185673</v>
      </c>
      <c r="H65" s="113">
        <f>H64*(1-PARAMETERS!$B$6)</f>
        <v>0.1559824689509294</v>
      </c>
      <c r="I65" s="93">
        <f t="shared" si="3"/>
        <v>6.2674083633192765</v>
      </c>
      <c r="J65" s="100"/>
      <c r="K65" s="93"/>
      <c r="L65" s="93"/>
      <c r="M65" s="94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R65" s="89"/>
      <c r="AS65" s="89"/>
      <c r="AU65" s="89"/>
    </row>
    <row r="66" spans="1:47" x14ac:dyDescent="0.35">
      <c r="A66" s="36">
        <f t="shared" si="0"/>
        <v>2082</v>
      </c>
      <c r="B66" s="36"/>
      <c r="C66" s="36">
        <f t="shared" si="1"/>
        <v>1</v>
      </c>
      <c r="D66" s="93">
        <f>C66*PARAMETERS!$B$9/1000000000</f>
        <v>2.1897810218978103E-12</v>
      </c>
      <c r="E66" s="93">
        <f>D66*PARAMETERS!$B$10</f>
        <v>3.2846715328467152E-14</v>
      </c>
      <c r="F66" s="93">
        <f>BAU!$B$45*1000000000000</f>
        <v>1223264171999652.8</v>
      </c>
      <c r="G66" s="93">
        <f t="shared" si="2"/>
        <v>40.180210029185673</v>
      </c>
      <c r="H66" s="113">
        <f>H65*(1-PARAMETERS!$B$6)</f>
        <v>0.15130299488240151</v>
      </c>
      <c r="I66" s="93">
        <f t="shared" si="3"/>
        <v>6.079386112419698</v>
      </c>
      <c r="J66" s="100"/>
      <c r="K66" s="93"/>
      <c r="L66" s="93"/>
      <c r="M66" s="94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R66" s="89"/>
      <c r="AS66" s="89"/>
      <c r="AU66" s="89"/>
    </row>
    <row r="67" spans="1:47" x14ac:dyDescent="0.35">
      <c r="A67" s="36">
        <f t="shared" si="0"/>
        <v>2083</v>
      </c>
      <c r="B67" s="36"/>
      <c r="C67" s="36">
        <f t="shared" si="1"/>
        <v>1</v>
      </c>
      <c r="D67" s="93">
        <f>C67*PARAMETERS!$B$9/1000000000</f>
        <v>2.1897810218978103E-12</v>
      </c>
      <c r="E67" s="93">
        <f>D67*PARAMETERS!$B$10</f>
        <v>3.2846715328467152E-14</v>
      </c>
      <c r="F67" s="93">
        <f>BAU!$B$45*1000000000000</f>
        <v>1223264171999652.8</v>
      </c>
      <c r="G67" s="93">
        <f t="shared" si="2"/>
        <v>40.180210029185673</v>
      </c>
      <c r="H67" s="113">
        <f>H66*(1-PARAMETERS!$B$6)</f>
        <v>0.14676390503592945</v>
      </c>
      <c r="I67" s="93">
        <f t="shared" si="3"/>
        <v>5.8970045290471065</v>
      </c>
      <c r="J67" s="100"/>
      <c r="K67" s="93"/>
      <c r="L67" s="93"/>
      <c r="M67" s="94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R67" s="89"/>
      <c r="AS67" s="89"/>
      <c r="AU67" s="89"/>
    </row>
    <row r="68" spans="1:47" x14ac:dyDescent="0.35">
      <c r="A68" s="36">
        <f t="shared" si="0"/>
        <v>2084</v>
      </c>
      <c r="B68" s="36"/>
      <c r="C68" s="36">
        <f t="shared" si="1"/>
        <v>1</v>
      </c>
      <c r="D68" s="93">
        <f>C68*PARAMETERS!$B$9/1000000000</f>
        <v>2.1897810218978103E-12</v>
      </c>
      <c r="E68" s="93">
        <f>D68*PARAMETERS!$B$10</f>
        <v>3.2846715328467152E-14</v>
      </c>
      <c r="F68" s="93">
        <f>BAU!$B$45*1000000000000</f>
        <v>1223264171999652.8</v>
      </c>
      <c r="G68" s="93">
        <f t="shared" si="2"/>
        <v>40.180210029185673</v>
      </c>
      <c r="H68" s="113">
        <f>H67*(1-PARAMETERS!$B$6)</f>
        <v>0.14236098788485158</v>
      </c>
      <c r="I68" s="93">
        <f t="shared" si="3"/>
        <v>5.7200943931756933</v>
      </c>
      <c r="J68" s="100"/>
      <c r="K68" s="93"/>
      <c r="L68" s="93"/>
      <c r="M68" s="94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R68" s="89"/>
      <c r="AS68" s="89"/>
      <c r="AU68" s="89"/>
    </row>
    <row r="69" spans="1:47" x14ac:dyDescent="0.35">
      <c r="A69" s="36">
        <f t="shared" si="0"/>
        <v>2085</v>
      </c>
      <c r="B69" s="36"/>
      <c r="C69" s="36">
        <f t="shared" si="1"/>
        <v>1</v>
      </c>
      <c r="D69" s="93">
        <f>C69*PARAMETERS!$B$9/1000000000</f>
        <v>2.1897810218978103E-12</v>
      </c>
      <c r="E69" s="93">
        <f>D69*PARAMETERS!$B$10</f>
        <v>3.2846715328467152E-14</v>
      </c>
      <c r="F69" s="93">
        <f>BAU!$B$45*1000000000000</f>
        <v>1223264171999652.8</v>
      </c>
      <c r="G69" s="93">
        <f t="shared" si="2"/>
        <v>40.180210029185673</v>
      </c>
      <c r="H69" s="113">
        <f>H68*(1-PARAMETERS!$B$6)</f>
        <v>0.13809015824830603</v>
      </c>
      <c r="I69" s="93">
        <f t="shared" si="3"/>
        <v>5.5484915613804224</v>
      </c>
      <c r="J69" s="100"/>
      <c r="K69" s="93"/>
      <c r="L69" s="93"/>
      <c r="M69" s="94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R69" s="89"/>
      <c r="AS69" s="89"/>
      <c r="AU69" s="89"/>
    </row>
    <row r="70" spans="1:47" x14ac:dyDescent="0.35">
      <c r="A70" s="36">
        <f t="shared" ref="A70:A84" si="4">A69+1</f>
        <v>2086</v>
      </c>
      <c r="B70" s="36"/>
      <c r="C70" s="36">
        <f t="shared" ref="C70:C84" si="5">C69+B70</f>
        <v>1</v>
      </c>
      <c r="D70" s="93">
        <f>C70*PARAMETERS!$B$9/1000000000</f>
        <v>2.1897810218978103E-12</v>
      </c>
      <c r="E70" s="93">
        <f>D70*PARAMETERS!$B$10</f>
        <v>3.2846715328467152E-14</v>
      </c>
      <c r="F70" s="93">
        <f>BAU!$B$45*1000000000000</f>
        <v>1223264171999652.8</v>
      </c>
      <c r="G70" s="93">
        <f t="shared" ref="G70:G84" si="6">E70*F70</f>
        <v>40.180210029185673</v>
      </c>
      <c r="H70" s="113">
        <f>H69*(1-PARAMETERS!$B$6)</f>
        <v>0.13394745350085685</v>
      </c>
      <c r="I70" s="93">
        <f t="shared" ref="I70:I84" si="7">H70*G70</f>
        <v>5.3820368145390098</v>
      </c>
      <c r="J70" s="100"/>
      <c r="K70" s="93"/>
      <c r="L70" s="93"/>
      <c r="M70" s="94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R70" s="89"/>
      <c r="AS70" s="89"/>
      <c r="AU70" s="89"/>
    </row>
    <row r="71" spans="1:47" x14ac:dyDescent="0.35">
      <c r="A71" s="36">
        <f t="shared" si="4"/>
        <v>2087</v>
      </c>
      <c r="B71" s="36"/>
      <c r="C71" s="36">
        <f t="shared" si="5"/>
        <v>1</v>
      </c>
      <c r="D71" s="93">
        <f>C71*PARAMETERS!$B$9/1000000000</f>
        <v>2.1897810218978103E-12</v>
      </c>
      <c r="E71" s="93">
        <f>D71*PARAMETERS!$B$10</f>
        <v>3.2846715328467152E-14</v>
      </c>
      <c r="F71" s="93">
        <f>BAU!$B$45*1000000000000</f>
        <v>1223264171999652.8</v>
      </c>
      <c r="G71" s="93">
        <f t="shared" si="6"/>
        <v>40.180210029185673</v>
      </c>
      <c r="H71" s="113">
        <f>H70*(1-PARAMETERS!$B$6)</f>
        <v>0.12992902989583113</v>
      </c>
      <c r="I71" s="93">
        <f t="shared" si="7"/>
        <v>5.2205757101028389</v>
      </c>
      <c r="J71" s="100"/>
      <c r="K71" s="93"/>
      <c r="L71" s="93"/>
      <c r="M71" s="94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R71" s="89"/>
      <c r="AS71" s="89"/>
      <c r="AU71" s="89"/>
    </row>
    <row r="72" spans="1:47" x14ac:dyDescent="0.35">
      <c r="A72" s="36">
        <f t="shared" si="4"/>
        <v>2088</v>
      </c>
      <c r="B72" s="36"/>
      <c r="C72" s="36">
        <f t="shared" si="5"/>
        <v>1</v>
      </c>
      <c r="D72" s="93">
        <f>C72*PARAMETERS!$B$9/1000000000</f>
        <v>2.1897810218978103E-12</v>
      </c>
      <c r="E72" s="93">
        <f>D72*PARAMETERS!$B$10</f>
        <v>3.2846715328467152E-14</v>
      </c>
      <c r="F72" s="93">
        <f>BAU!$B$45*1000000000000</f>
        <v>1223264171999652.8</v>
      </c>
      <c r="G72" s="93">
        <f t="shared" si="6"/>
        <v>40.180210029185673</v>
      </c>
      <c r="H72" s="113">
        <f>H71*(1-PARAMETERS!$B$6)</f>
        <v>0.1260311589989562</v>
      </c>
      <c r="I72" s="93">
        <f t="shared" si="7"/>
        <v>5.0639584387997543</v>
      </c>
      <c r="J72" s="100"/>
      <c r="K72" s="93"/>
      <c r="L72" s="93"/>
      <c r="M72" s="94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R72" s="89"/>
      <c r="AS72" s="89"/>
      <c r="AU72" s="89"/>
    </row>
    <row r="73" spans="1:47" x14ac:dyDescent="0.35">
      <c r="A73" s="36">
        <f t="shared" si="4"/>
        <v>2089</v>
      </c>
      <c r="B73" s="36"/>
      <c r="C73" s="36">
        <f t="shared" si="5"/>
        <v>1</v>
      </c>
      <c r="D73" s="93">
        <f>C73*PARAMETERS!$B$9/1000000000</f>
        <v>2.1897810218978103E-12</v>
      </c>
      <c r="E73" s="93">
        <f>D73*PARAMETERS!$B$10</f>
        <v>3.2846715328467152E-14</v>
      </c>
      <c r="F73" s="93">
        <f>BAU!$B$45*1000000000000</f>
        <v>1223264171999652.8</v>
      </c>
      <c r="G73" s="93">
        <f t="shared" si="6"/>
        <v>40.180210029185673</v>
      </c>
      <c r="H73" s="113">
        <f>H72*(1-PARAMETERS!$B$6)</f>
        <v>0.12225022422898751</v>
      </c>
      <c r="I73" s="93">
        <f t="shared" si="7"/>
        <v>4.9120396856357615</v>
      </c>
      <c r="J73" s="100"/>
      <c r="K73" s="93"/>
      <c r="L73" s="93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R73" s="89"/>
      <c r="AS73" s="89"/>
      <c r="AU73" s="89"/>
    </row>
    <row r="74" spans="1:47" x14ac:dyDescent="0.35">
      <c r="A74" s="36">
        <f t="shared" si="4"/>
        <v>2090</v>
      </c>
      <c r="B74" s="36"/>
      <c r="C74" s="36">
        <f t="shared" si="5"/>
        <v>1</v>
      </c>
      <c r="D74" s="93">
        <f>C74*PARAMETERS!$B$9/1000000000</f>
        <v>2.1897810218978103E-12</v>
      </c>
      <c r="E74" s="93">
        <f>D74*PARAMETERS!$B$10</f>
        <v>3.2846715328467152E-14</v>
      </c>
      <c r="F74" s="93">
        <f>BAU!$B$45*1000000000000</f>
        <v>1223264171999652.8</v>
      </c>
      <c r="G74" s="93">
        <f t="shared" si="6"/>
        <v>40.180210029185673</v>
      </c>
      <c r="H74" s="113">
        <f>H73*(1-PARAMETERS!$B$6)</f>
        <v>0.11858271750211788</v>
      </c>
      <c r="I74" s="93">
        <f t="shared" si="7"/>
        <v>4.7646784950666881</v>
      </c>
      <c r="J74" s="100"/>
      <c r="K74" s="93"/>
      <c r="L74" s="93"/>
      <c r="M74" s="94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R74" s="89"/>
      <c r="AS74" s="89"/>
      <c r="AU74" s="89"/>
    </row>
    <row r="75" spans="1:47" x14ac:dyDescent="0.35">
      <c r="A75" s="36">
        <f t="shared" si="4"/>
        <v>2091</v>
      </c>
      <c r="B75" s="36"/>
      <c r="C75" s="36">
        <f t="shared" si="5"/>
        <v>1</v>
      </c>
      <c r="D75" s="93">
        <f>C75*PARAMETERS!$B$9/1000000000</f>
        <v>2.1897810218978103E-12</v>
      </c>
      <c r="E75" s="93">
        <f>D75*PARAMETERS!$B$10</f>
        <v>3.2846715328467152E-14</v>
      </c>
      <c r="F75" s="93">
        <f>BAU!$B$45*1000000000000</f>
        <v>1223264171999652.8</v>
      </c>
      <c r="G75" s="93">
        <f t="shared" si="6"/>
        <v>40.180210029185673</v>
      </c>
      <c r="H75" s="113">
        <f>H74*(1-PARAMETERS!$B$6)</f>
        <v>0.11502523597705434</v>
      </c>
      <c r="I75" s="93">
        <f t="shared" si="7"/>
        <v>4.6217381402146875</v>
      </c>
      <c r="J75" s="100"/>
      <c r="K75" s="93"/>
      <c r="L75" s="93"/>
      <c r="M75" s="94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R75" s="89"/>
      <c r="AS75" s="89"/>
      <c r="AU75" s="89"/>
    </row>
    <row r="76" spans="1:47" x14ac:dyDescent="0.35">
      <c r="A76" s="36">
        <f t="shared" si="4"/>
        <v>2092</v>
      </c>
      <c r="B76" s="36"/>
      <c r="C76" s="36">
        <f t="shared" si="5"/>
        <v>1</v>
      </c>
      <c r="D76" s="93">
        <f>C76*PARAMETERS!$B$9/1000000000</f>
        <v>2.1897810218978103E-12</v>
      </c>
      <c r="E76" s="93">
        <f>D76*PARAMETERS!$B$10</f>
        <v>3.2846715328467152E-14</v>
      </c>
      <c r="F76" s="93">
        <f>BAU!$B$45*1000000000000</f>
        <v>1223264171999652.8</v>
      </c>
      <c r="G76" s="93">
        <f t="shared" si="6"/>
        <v>40.180210029185673</v>
      </c>
      <c r="H76" s="113">
        <f>H75*(1-PARAMETERS!$B$6)</f>
        <v>0.1115744788977427</v>
      </c>
      <c r="I76" s="93">
        <f t="shared" si="7"/>
        <v>4.4830859960082465</v>
      </c>
      <c r="J76" s="100"/>
      <c r="K76" s="93"/>
      <c r="L76" s="93"/>
      <c r="M76" s="94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R76" s="89"/>
      <c r="AS76" s="89"/>
      <c r="AU76" s="89"/>
    </row>
    <row r="77" spans="1:47" x14ac:dyDescent="0.35">
      <c r="A77" s="36">
        <f t="shared" si="4"/>
        <v>2093</v>
      </c>
      <c r="B77" s="36"/>
      <c r="C77" s="36">
        <f t="shared" si="5"/>
        <v>1</v>
      </c>
      <c r="D77" s="93">
        <f>C77*PARAMETERS!$B$9/1000000000</f>
        <v>2.1897810218978103E-12</v>
      </c>
      <c r="E77" s="93">
        <f>D77*PARAMETERS!$B$10</f>
        <v>3.2846715328467152E-14</v>
      </c>
      <c r="F77" s="93">
        <f>BAU!$B$45*1000000000000</f>
        <v>1223264171999652.8</v>
      </c>
      <c r="G77" s="93">
        <f t="shared" si="6"/>
        <v>40.180210029185673</v>
      </c>
      <c r="H77" s="113">
        <f>H76*(1-PARAMETERS!$B$6)</f>
        <v>0.10822724453081042</v>
      </c>
      <c r="I77" s="93">
        <f t="shared" si="7"/>
        <v>4.3485934161279989</v>
      </c>
      <c r="J77" s="100"/>
      <c r="K77" s="93"/>
      <c r="L77" s="93"/>
      <c r="M77" s="94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R77" s="89"/>
      <c r="AS77" s="89"/>
      <c r="AU77" s="89"/>
    </row>
    <row r="78" spans="1:47" x14ac:dyDescent="0.35">
      <c r="A78" s="36">
        <f t="shared" si="4"/>
        <v>2094</v>
      </c>
      <c r="B78" s="36"/>
      <c r="C78" s="36">
        <f t="shared" si="5"/>
        <v>1</v>
      </c>
      <c r="D78" s="93">
        <f>C78*PARAMETERS!$B$9/1000000000</f>
        <v>2.1897810218978103E-12</v>
      </c>
      <c r="E78" s="93">
        <f>D78*PARAMETERS!$B$10</f>
        <v>3.2846715328467152E-14</v>
      </c>
      <c r="F78" s="93">
        <f>BAU!$B$45*1000000000000</f>
        <v>1223264171999652.8</v>
      </c>
      <c r="G78" s="93">
        <f t="shared" si="6"/>
        <v>40.180210029185673</v>
      </c>
      <c r="H78" s="113">
        <f>H77*(1-PARAMETERS!$B$6)</f>
        <v>0.10498042719488611</v>
      </c>
      <c r="I78" s="93">
        <f t="shared" si="7"/>
        <v>4.2181356136441588</v>
      </c>
      <c r="J78" s="100"/>
      <c r="K78" s="93"/>
      <c r="L78" s="93"/>
      <c r="M78" s="94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R78" s="89"/>
      <c r="AS78" s="89"/>
      <c r="AU78" s="89"/>
    </row>
    <row r="79" spans="1:47" x14ac:dyDescent="0.35">
      <c r="A79" s="36">
        <f t="shared" si="4"/>
        <v>2095</v>
      </c>
      <c r="B79" s="36"/>
      <c r="C79" s="36">
        <f t="shared" si="5"/>
        <v>1</v>
      </c>
      <c r="D79" s="93">
        <f>C79*PARAMETERS!$B$9/1000000000</f>
        <v>2.1897810218978103E-12</v>
      </c>
      <c r="E79" s="93">
        <f>D79*PARAMETERS!$B$10</f>
        <v>3.2846715328467152E-14</v>
      </c>
      <c r="F79" s="93">
        <f>BAU!$B$45*1000000000000</f>
        <v>1223264171999652.8</v>
      </c>
      <c r="G79" s="93">
        <f t="shared" si="6"/>
        <v>40.180210029185673</v>
      </c>
      <c r="H79" s="113">
        <f>H78*(1-PARAMETERS!$B$6)</f>
        <v>0.10183101437903952</v>
      </c>
      <c r="I79" s="93">
        <f t="shared" si="7"/>
        <v>4.0915915452348344</v>
      </c>
      <c r="J79" s="100"/>
      <c r="K79" s="93"/>
      <c r="L79" s="93"/>
      <c r="M79" s="94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R79" s="89"/>
      <c r="AS79" s="89"/>
      <c r="AU79" s="89"/>
    </row>
    <row r="80" spans="1:47" x14ac:dyDescent="0.35">
      <c r="A80" s="36">
        <f t="shared" si="4"/>
        <v>2096</v>
      </c>
      <c r="B80" s="36"/>
      <c r="C80" s="36">
        <f t="shared" si="5"/>
        <v>1</v>
      </c>
      <c r="D80" s="93">
        <f>C80*PARAMETERS!$B$9/1000000000</f>
        <v>2.1897810218978103E-12</v>
      </c>
      <c r="E80" s="93">
        <f>D80*PARAMETERS!$B$10</f>
        <v>3.2846715328467152E-14</v>
      </c>
      <c r="F80" s="93">
        <f>BAU!$B$45*1000000000000</f>
        <v>1223264171999652.8</v>
      </c>
      <c r="G80" s="93">
        <f t="shared" si="6"/>
        <v>40.180210029185673</v>
      </c>
      <c r="H80" s="113">
        <f>H79*(1-PARAMETERS!$B$6)</f>
        <v>9.8776083947668333E-2</v>
      </c>
      <c r="I80" s="93">
        <f t="shared" si="7"/>
        <v>3.9688437988777889</v>
      </c>
      <c r="J80" s="100"/>
      <c r="K80" s="93"/>
      <c r="L80" s="93"/>
      <c r="M80" s="94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R80" s="89"/>
      <c r="AS80" s="89"/>
      <c r="AU80" s="89"/>
    </row>
    <row r="81" spans="1:47" x14ac:dyDescent="0.35">
      <c r="A81" s="36">
        <f t="shared" si="4"/>
        <v>2097</v>
      </c>
      <c r="B81" s="36"/>
      <c r="C81" s="36">
        <f t="shared" si="5"/>
        <v>1</v>
      </c>
      <c r="D81" s="93">
        <f>C81*PARAMETERS!$B$9/1000000000</f>
        <v>2.1897810218978103E-12</v>
      </c>
      <c r="E81" s="93">
        <f>D81*PARAMETERS!$B$10</f>
        <v>3.2846715328467152E-14</v>
      </c>
      <c r="F81" s="93">
        <f>BAU!$B$45*1000000000000</f>
        <v>1223264171999652.8</v>
      </c>
      <c r="G81" s="93">
        <f t="shared" si="6"/>
        <v>40.180210029185673</v>
      </c>
      <c r="H81" s="113">
        <f>H80*(1-PARAMETERS!$B$6)</f>
        <v>9.5812801429238287E-2</v>
      </c>
      <c r="I81" s="93">
        <f t="shared" si="7"/>
        <v>3.8497784849114556</v>
      </c>
      <c r="J81" s="100"/>
      <c r="K81" s="93"/>
      <c r="L81" s="93"/>
      <c r="M81" s="94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R81" s="89"/>
      <c r="AS81" s="89"/>
      <c r="AU81" s="89"/>
    </row>
    <row r="82" spans="1:47" x14ac:dyDescent="0.35">
      <c r="A82" s="36">
        <f t="shared" si="4"/>
        <v>2098</v>
      </c>
      <c r="B82" s="36"/>
      <c r="C82" s="36">
        <f t="shared" si="5"/>
        <v>1</v>
      </c>
      <c r="D82" s="93">
        <f>C82*PARAMETERS!$B$9/1000000000</f>
        <v>2.1897810218978103E-12</v>
      </c>
      <c r="E82" s="93">
        <f>D82*PARAMETERS!$B$10</f>
        <v>3.2846715328467152E-14</v>
      </c>
      <c r="F82" s="93">
        <f>BAU!$B$45*1000000000000</f>
        <v>1223264171999652.8</v>
      </c>
      <c r="G82" s="93">
        <f t="shared" si="6"/>
        <v>40.180210029185673</v>
      </c>
      <c r="H82" s="113">
        <f>H81*(1-PARAMETERS!$B$6)</f>
        <v>9.2938417386361133E-2</v>
      </c>
      <c r="I82" s="93">
        <f t="shared" si="7"/>
        <v>3.7342851303641118</v>
      </c>
      <c r="J82" s="100"/>
      <c r="K82" s="93"/>
      <c r="L82" s="93"/>
      <c r="M82" s="94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R82" s="89"/>
      <c r="AS82" s="89"/>
      <c r="AU82" s="89"/>
    </row>
    <row r="83" spans="1:47" x14ac:dyDescent="0.35">
      <c r="A83" s="36">
        <f t="shared" si="4"/>
        <v>2099</v>
      </c>
      <c r="B83" s="36"/>
      <c r="C83" s="36">
        <f t="shared" si="5"/>
        <v>1</v>
      </c>
      <c r="D83" s="93">
        <f>C83*PARAMETERS!$B$9/1000000000</f>
        <v>2.1897810218978103E-12</v>
      </c>
      <c r="E83" s="93">
        <f>D83*PARAMETERS!$B$10</f>
        <v>3.2846715328467152E-14</v>
      </c>
      <c r="F83" s="93">
        <f>BAU!$B$45*1000000000000</f>
        <v>1223264171999652.8</v>
      </c>
      <c r="G83" s="93">
        <f t="shared" si="6"/>
        <v>40.180210029185673</v>
      </c>
      <c r="H83" s="113">
        <f>H82*(1-PARAMETERS!$B$6)</f>
        <v>9.0150264864770291E-2</v>
      </c>
      <c r="I83" s="93">
        <f t="shared" si="7"/>
        <v>3.622256576453188</v>
      </c>
      <c r="J83" s="100"/>
      <c r="K83" s="93"/>
      <c r="L83" s="93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R83" s="89"/>
      <c r="AS83" s="89"/>
      <c r="AU83" s="89"/>
    </row>
    <row r="84" spans="1:47" x14ac:dyDescent="0.35">
      <c r="A84" s="36">
        <f t="shared" si="4"/>
        <v>2100</v>
      </c>
      <c r="B84" s="36"/>
      <c r="C84" s="36">
        <f t="shared" si="5"/>
        <v>1</v>
      </c>
      <c r="D84" s="93">
        <f>C84*PARAMETERS!$B$9/1000000000</f>
        <v>2.1897810218978103E-12</v>
      </c>
      <c r="E84" s="93">
        <f>D84*PARAMETERS!$B$10</f>
        <v>3.2846715328467152E-14</v>
      </c>
      <c r="F84" s="93">
        <f>BAU!$B$45*1000000000000</f>
        <v>1223264171999652.8</v>
      </c>
      <c r="G84" s="93">
        <f t="shared" si="6"/>
        <v>40.180210029185673</v>
      </c>
      <c r="H84" s="113">
        <f>H83*(1-PARAMETERS!$B$6)</f>
        <v>8.744575691882718E-2</v>
      </c>
      <c r="I84" s="93">
        <f t="shared" si="7"/>
        <v>3.5135888791595922</v>
      </c>
      <c r="J84" s="101"/>
      <c r="K84" s="94"/>
      <c r="L84" s="94"/>
      <c r="M84" s="94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R84" s="89"/>
      <c r="AS84" s="89"/>
      <c r="AU84" s="89"/>
    </row>
    <row r="85" spans="1:47" x14ac:dyDescent="0.35"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</row>
    <row r="86" spans="1:47" x14ac:dyDescent="0.35"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</row>
    <row r="87" spans="1:47" x14ac:dyDescent="0.35"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</row>
    <row r="88" spans="1:47" x14ac:dyDescent="0.35"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</row>
    <row r="89" spans="1:47" x14ac:dyDescent="0.35"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</row>
    <row r="90" spans="1:47" x14ac:dyDescent="0.35"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</row>
    <row r="91" spans="1:47" x14ac:dyDescent="0.35"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</row>
    <row r="92" spans="1:47" x14ac:dyDescent="0.35"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</row>
    <row r="93" spans="1:47" x14ac:dyDescent="0.35"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</row>
    <row r="94" spans="1:47" x14ac:dyDescent="0.35"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</row>
    <row r="95" spans="1:47" x14ac:dyDescent="0.35"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</row>
    <row r="96" spans="1:47" x14ac:dyDescent="0.35"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</row>
    <row r="97" spans="14:42" x14ac:dyDescent="0.35"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</row>
    <row r="98" spans="14:42" x14ac:dyDescent="0.35"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</row>
    <row r="99" spans="14:42" x14ac:dyDescent="0.35"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</row>
    <row r="100" spans="14:42" x14ac:dyDescent="0.35"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</row>
  </sheetData>
  <mergeCells count="1">
    <mergeCell ref="A1:K1"/>
  </mergeCells>
  <phoneticPr fontId="1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N29:R66"/>
  <sheetViews>
    <sheetView tabSelected="1" topLeftCell="A7" zoomScale="50" zoomScaleNormal="50" workbookViewId="0">
      <selection activeCell="Z32" sqref="Z32"/>
    </sheetView>
  </sheetViews>
  <sheetFormatPr defaultRowHeight="14.5" x14ac:dyDescent="0.35"/>
  <sheetData>
    <row r="29" spans="18:18" x14ac:dyDescent="0.35">
      <c r="R29" t="s">
        <v>49</v>
      </c>
    </row>
    <row r="66" spans="14:14" x14ac:dyDescent="0.35">
      <c r="N66" t="s">
        <v>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PARAMETERS</vt:lpstr>
      <vt:lpstr>DATA</vt:lpstr>
      <vt:lpstr>BAU</vt:lpstr>
      <vt:lpstr>DECARBONISATION</vt:lpstr>
      <vt:lpstr>ADAPTATION</vt:lpstr>
      <vt:lpstr>EFFICIENCY</vt:lpstr>
      <vt:lpstr>SCC</vt:lpstr>
      <vt:lpstr>DASHBOARD</vt:lpstr>
    </vt:vector>
  </TitlesOfParts>
  <Company>Lancaster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Jarvis, Andrew</dc:creator>
  <cp:lastModifiedBy>Jarvis, Andrew</cp:lastModifiedBy>
  <dcterms:created xsi:type="dcterms:W3CDTF">2016-01-16T12:01:28Z</dcterms:created>
  <dcterms:modified xsi:type="dcterms:W3CDTF">2025-07-19T06:39:53Z</dcterms:modified>
</cp:coreProperties>
</file>